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4 - 2025 Budget\Fiscal Year 2025 - BUDGET  for  WEBSITE\"/>
    </mc:Choice>
  </mc:AlternateContent>
  <xr:revisionPtr revIDLastSave="0" documentId="13_ncr:1_{ACD4C966-BD4C-46EB-B798-8D897FCFF703}" xr6:coauthVersionLast="47" xr6:coauthVersionMax="47" xr10:uidLastSave="{00000000-0000-0000-0000-000000000000}"/>
  <bookViews>
    <workbookView xWindow="-120" yWindow="-120" windowWidth="29040" windowHeight="15840" xr2:uid="{891216BA-82BC-46C0-B0D6-E116084CA7FC}"/>
  </bookViews>
  <sheets>
    <sheet name=" FY24-25 Approved Budget - Raw " sheetId="1" r:id="rId1"/>
  </sheets>
  <definedNames>
    <definedName name="_xlnm.Print_Area" localSheetId="0">' FY24-25 Approved Budget - Raw '!$A$1:$Q$6157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98" i="1" l="1"/>
  <c r="O6298" i="1"/>
  <c r="M6298" i="1"/>
  <c r="Q6297" i="1"/>
  <c r="O6297" i="1"/>
  <c r="M6297" i="1"/>
  <c r="K6297" i="1"/>
  <c r="G6297" i="1"/>
  <c r="E6297" i="1"/>
  <c r="C6297" i="1"/>
  <c r="M6296" i="1"/>
  <c r="I6296" i="1"/>
  <c r="E6293" i="1"/>
  <c r="E6292" i="1"/>
  <c r="E6291" i="1"/>
  <c r="O6262" i="1"/>
  <c r="M6262" i="1"/>
  <c r="Q6262" i="1" s="1"/>
  <c r="K6262" i="1"/>
  <c r="I6262" i="1"/>
  <c r="G6262" i="1"/>
  <c r="E6262" i="1"/>
  <c r="C6262" i="1"/>
  <c r="Q6261" i="1"/>
  <c r="Q6258" i="1"/>
  <c r="O6258" i="1"/>
  <c r="M6258" i="1"/>
  <c r="K6258" i="1"/>
  <c r="I6258" i="1"/>
  <c r="G6258" i="1"/>
  <c r="E6258" i="1"/>
  <c r="C6258" i="1"/>
  <c r="Q6257" i="1"/>
  <c r="O6255" i="1"/>
  <c r="M6255" i="1"/>
  <c r="K6255" i="1"/>
  <c r="I6255" i="1"/>
  <c r="G6255" i="1"/>
  <c r="E6255" i="1"/>
  <c r="C6255" i="1"/>
  <c r="Q6254" i="1"/>
  <c r="Q6253" i="1"/>
  <c r="Q6252" i="1"/>
  <c r="Q6251" i="1"/>
  <c r="Q6250" i="1"/>
  <c r="Q6249" i="1"/>
  <c r="Q6248" i="1"/>
  <c r="Q6247" i="1"/>
  <c r="Q6246" i="1"/>
  <c r="O6243" i="1"/>
  <c r="O6265" i="1" s="1"/>
  <c r="O6301" i="1" s="1"/>
  <c r="M6243" i="1"/>
  <c r="M6265" i="1" s="1"/>
  <c r="M6301" i="1" s="1"/>
  <c r="K6243" i="1"/>
  <c r="K6265" i="1" s="1"/>
  <c r="K6301" i="1" s="1"/>
  <c r="I6243" i="1"/>
  <c r="I6265" i="1" s="1"/>
  <c r="I6301" i="1" s="1"/>
  <c r="G6243" i="1"/>
  <c r="G6265" i="1" s="1"/>
  <c r="G6301" i="1" s="1"/>
  <c r="E6243" i="1"/>
  <c r="E6265" i="1" s="1"/>
  <c r="E6301" i="1" s="1"/>
  <c r="C6243" i="1"/>
  <c r="C6265" i="1" s="1"/>
  <c r="C6301" i="1" s="1"/>
  <c r="Q6242" i="1"/>
  <c r="Q6241" i="1"/>
  <c r="Q6240" i="1"/>
  <c r="Q6239" i="1"/>
  <c r="Q6237" i="1"/>
  <c r="Q6236" i="1"/>
  <c r="Q6235" i="1"/>
  <c r="Q6234" i="1"/>
  <c r="Q6231" i="1"/>
  <c r="O6231" i="1"/>
  <c r="M6231" i="1"/>
  <c r="Q6230" i="1"/>
  <c r="O6230" i="1"/>
  <c r="M6230" i="1"/>
  <c r="K6230" i="1"/>
  <c r="G6230" i="1"/>
  <c r="E6230" i="1"/>
  <c r="C6230" i="1"/>
  <c r="M6229" i="1"/>
  <c r="I6229" i="1"/>
  <c r="E6226" i="1"/>
  <c r="E6225" i="1"/>
  <c r="E6224" i="1"/>
  <c r="C6189" i="1"/>
  <c r="O6186" i="1"/>
  <c r="O6303" i="1" s="1"/>
  <c r="G6186" i="1"/>
  <c r="G6303" i="1" s="1"/>
  <c r="E6186" i="1"/>
  <c r="C6186" i="1"/>
  <c r="O6184" i="1"/>
  <c r="M6184" i="1"/>
  <c r="M6186" i="1" s="1"/>
  <c r="K6184" i="1"/>
  <c r="K6186" i="1" s="1"/>
  <c r="K6303" i="1" s="1"/>
  <c r="I6184" i="1"/>
  <c r="I6186" i="1" s="1"/>
  <c r="I6303" i="1" s="1"/>
  <c r="G6184" i="1"/>
  <c r="E6184" i="1"/>
  <c r="C6184" i="1"/>
  <c r="Q6181" i="1"/>
  <c r="Q6180" i="1"/>
  <c r="Q6179" i="1"/>
  <c r="Q6178" i="1"/>
  <c r="Q6177" i="1"/>
  <c r="Q6176" i="1"/>
  <c r="Q6175" i="1"/>
  <c r="Q6174" i="1"/>
  <c r="Q6173" i="1"/>
  <c r="Q6165" i="1"/>
  <c r="O6165" i="1"/>
  <c r="M6165" i="1"/>
  <c r="Q6164" i="1"/>
  <c r="O6164" i="1"/>
  <c r="M6164" i="1"/>
  <c r="K6164" i="1"/>
  <c r="G6164" i="1"/>
  <c r="E6164" i="1"/>
  <c r="C6164" i="1"/>
  <c r="M6163" i="1"/>
  <c r="I6163" i="1"/>
  <c r="E6160" i="1"/>
  <c r="E6159" i="1"/>
  <c r="E6158" i="1"/>
  <c r="Q6124" i="1"/>
  <c r="O6124" i="1"/>
  <c r="M6124" i="1"/>
  <c r="Q6123" i="1"/>
  <c r="O6123" i="1"/>
  <c r="M6123" i="1"/>
  <c r="K6123" i="1"/>
  <c r="G6123" i="1"/>
  <c r="E6123" i="1"/>
  <c r="C6123" i="1"/>
  <c r="M6122" i="1"/>
  <c r="I6122" i="1"/>
  <c r="E6119" i="1"/>
  <c r="E6118" i="1"/>
  <c r="E6117" i="1"/>
  <c r="E6091" i="1"/>
  <c r="E6127" i="1" s="1"/>
  <c r="O6088" i="1"/>
  <c r="M6088" i="1"/>
  <c r="Q6088" i="1" s="1"/>
  <c r="K6088" i="1"/>
  <c r="I6088" i="1"/>
  <c r="G6088" i="1"/>
  <c r="E6088" i="1"/>
  <c r="C6088" i="1"/>
  <c r="Q6087" i="1"/>
  <c r="O6084" i="1"/>
  <c r="M6084" i="1"/>
  <c r="K6084" i="1"/>
  <c r="I6084" i="1"/>
  <c r="G6084" i="1"/>
  <c r="G6091" i="1" s="1"/>
  <c r="G6127" i="1" s="1"/>
  <c r="E6084" i="1"/>
  <c r="C6084" i="1"/>
  <c r="Q6083" i="1"/>
  <c r="Q6084" i="1" s="1"/>
  <c r="O6081" i="1"/>
  <c r="M6081" i="1"/>
  <c r="K6081" i="1"/>
  <c r="I6081" i="1"/>
  <c r="G6081" i="1"/>
  <c r="E6081" i="1"/>
  <c r="C6081" i="1"/>
  <c r="Q6080" i="1"/>
  <c r="Q6079" i="1"/>
  <c r="Q6078" i="1"/>
  <c r="Q6077" i="1"/>
  <c r="Q6076" i="1"/>
  <c r="Q6075" i="1"/>
  <c r="Q6074" i="1"/>
  <c r="Q6073" i="1"/>
  <c r="Q6072" i="1"/>
  <c r="O6069" i="1"/>
  <c r="O6091" i="1" s="1"/>
  <c r="O6127" i="1" s="1"/>
  <c r="M6069" i="1"/>
  <c r="M6091" i="1" s="1"/>
  <c r="M6127" i="1" s="1"/>
  <c r="K6069" i="1"/>
  <c r="K6091" i="1" s="1"/>
  <c r="K6127" i="1" s="1"/>
  <c r="I6069" i="1"/>
  <c r="I6091" i="1" s="1"/>
  <c r="I6127" i="1" s="1"/>
  <c r="G6069" i="1"/>
  <c r="E6069" i="1"/>
  <c r="C6069" i="1"/>
  <c r="C6091" i="1" s="1"/>
  <c r="C6127" i="1" s="1"/>
  <c r="Q6068" i="1"/>
  <c r="Q6067" i="1"/>
  <c r="Q6066" i="1"/>
  <c r="Q6065" i="1"/>
  <c r="Q6064" i="1"/>
  <c r="Q6062" i="1"/>
  <c r="Q6061" i="1"/>
  <c r="Q6060" i="1"/>
  <c r="Q6059" i="1"/>
  <c r="Q6058" i="1"/>
  <c r="Q6057" i="1"/>
  <c r="Q6056" i="1"/>
  <c r="Q6055" i="1"/>
  <c r="Q6054" i="1"/>
  <c r="Q6053" i="1"/>
  <c r="Q6050" i="1"/>
  <c r="O6050" i="1"/>
  <c r="M6050" i="1"/>
  <c r="Q6049" i="1"/>
  <c r="O6049" i="1"/>
  <c r="M6049" i="1"/>
  <c r="K6049" i="1"/>
  <c r="G6049" i="1"/>
  <c r="E6049" i="1"/>
  <c r="C6049" i="1"/>
  <c r="M6048" i="1"/>
  <c r="I6048" i="1"/>
  <c r="E6045" i="1"/>
  <c r="E6044" i="1"/>
  <c r="E6043" i="1"/>
  <c r="I6005" i="1"/>
  <c r="I6129" i="1" s="1"/>
  <c r="G6005" i="1"/>
  <c r="G6129" i="1" s="1"/>
  <c r="E6005" i="1"/>
  <c r="E6129" i="1" s="1"/>
  <c r="O6003" i="1"/>
  <c r="O6005" i="1" s="1"/>
  <c r="M6003" i="1"/>
  <c r="M6005" i="1" s="1"/>
  <c r="M6129" i="1" s="1"/>
  <c r="K6003" i="1"/>
  <c r="K6005" i="1" s="1"/>
  <c r="I6003" i="1"/>
  <c r="G6003" i="1"/>
  <c r="E6003" i="1"/>
  <c r="C6003" i="1"/>
  <c r="C6005" i="1" s="1"/>
  <c r="Q6000" i="1"/>
  <c r="Q5999" i="1"/>
  <c r="Q5998" i="1"/>
  <c r="Q5997" i="1"/>
  <c r="Q5996" i="1"/>
  <c r="Q5995" i="1"/>
  <c r="Q5994" i="1"/>
  <c r="Q5993" i="1"/>
  <c r="Q5992" i="1"/>
  <c r="Q5984" i="1"/>
  <c r="O5984" i="1"/>
  <c r="M5984" i="1"/>
  <c r="Q5983" i="1"/>
  <c r="O5983" i="1"/>
  <c r="M5983" i="1"/>
  <c r="K5983" i="1"/>
  <c r="G5983" i="1"/>
  <c r="E5983" i="1"/>
  <c r="C5983" i="1"/>
  <c r="M5982" i="1"/>
  <c r="I5982" i="1"/>
  <c r="E5979" i="1"/>
  <c r="E5978" i="1"/>
  <c r="E5977" i="1"/>
  <c r="Q5918" i="1"/>
  <c r="O5918" i="1"/>
  <c r="M5918" i="1"/>
  <c r="Q5917" i="1"/>
  <c r="O5917" i="1"/>
  <c r="M5917" i="1"/>
  <c r="K5917" i="1"/>
  <c r="G5917" i="1"/>
  <c r="E5917" i="1"/>
  <c r="C5917" i="1"/>
  <c r="M5916" i="1"/>
  <c r="I5916" i="1"/>
  <c r="E5913" i="1"/>
  <c r="E5912" i="1"/>
  <c r="E5911" i="1"/>
  <c r="Q5903" i="1"/>
  <c r="O5903" i="1"/>
  <c r="M5903" i="1"/>
  <c r="K5903" i="1"/>
  <c r="I5903" i="1"/>
  <c r="G5903" i="1"/>
  <c r="E5903" i="1"/>
  <c r="C5903" i="1"/>
  <c r="Q5902" i="1"/>
  <c r="O5899" i="1"/>
  <c r="M5899" i="1"/>
  <c r="M5905" i="1" s="1"/>
  <c r="M5921" i="1" s="1"/>
  <c r="K5899" i="1"/>
  <c r="I5899" i="1"/>
  <c r="I5905" i="1" s="1"/>
  <c r="I5921" i="1" s="1"/>
  <c r="G5899" i="1"/>
  <c r="E5899" i="1"/>
  <c r="C5899" i="1"/>
  <c r="Q5898" i="1"/>
  <c r="Q5897" i="1"/>
  <c r="Q5899" i="1" s="1"/>
  <c r="O5895" i="1"/>
  <c r="O5905" i="1" s="1"/>
  <c r="O5921" i="1" s="1"/>
  <c r="M5895" i="1"/>
  <c r="K5895" i="1"/>
  <c r="K5905" i="1" s="1"/>
  <c r="K5921" i="1" s="1"/>
  <c r="I5895" i="1"/>
  <c r="G5895" i="1"/>
  <c r="G5905" i="1" s="1"/>
  <c r="G5921" i="1" s="1"/>
  <c r="E5895" i="1"/>
  <c r="E5905" i="1" s="1"/>
  <c r="E5921" i="1" s="1"/>
  <c r="C5895" i="1"/>
  <c r="C5905" i="1" s="1"/>
  <c r="C5921" i="1" s="1"/>
  <c r="Q5894" i="1"/>
  <c r="Q5893" i="1"/>
  <c r="Q5892" i="1"/>
  <c r="Q5891" i="1"/>
  <c r="Q5895" i="1" s="1"/>
  <c r="Q5888" i="1"/>
  <c r="O5888" i="1"/>
  <c r="M5888" i="1"/>
  <c r="K5888" i="1"/>
  <c r="I5888" i="1"/>
  <c r="G5888" i="1"/>
  <c r="E5888" i="1"/>
  <c r="C5888" i="1"/>
  <c r="Q5887" i="1"/>
  <c r="O5884" i="1"/>
  <c r="M5884" i="1"/>
  <c r="K5884" i="1"/>
  <c r="I5884" i="1"/>
  <c r="G5884" i="1"/>
  <c r="E5884" i="1"/>
  <c r="C5884" i="1"/>
  <c r="Q5883" i="1"/>
  <c r="Q5882" i="1"/>
  <c r="Q5881" i="1"/>
  <c r="Q5880" i="1"/>
  <c r="Q5879" i="1"/>
  <c r="Q5884" i="1" s="1"/>
  <c r="Q5876" i="1"/>
  <c r="O5876" i="1"/>
  <c r="M5876" i="1"/>
  <c r="Q5875" i="1"/>
  <c r="O5875" i="1"/>
  <c r="M5875" i="1"/>
  <c r="K5875" i="1"/>
  <c r="G5875" i="1"/>
  <c r="E5875" i="1"/>
  <c r="C5875" i="1"/>
  <c r="M5874" i="1"/>
  <c r="I5874" i="1"/>
  <c r="E5871" i="1"/>
  <c r="E5870" i="1"/>
  <c r="E5869" i="1"/>
  <c r="M5848" i="1"/>
  <c r="M5923" i="1" s="1"/>
  <c r="E5848" i="1"/>
  <c r="E5923" i="1" s="1"/>
  <c r="Q5846" i="1"/>
  <c r="O5846" i="1"/>
  <c r="O5848" i="1" s="1"/>
  <c r="M5846" i="1"/>
  <c r="K5846" i="1"/>
  <c r="I5846" i="1"/>
  <c r="G5846" i="1"/>
  <c r="E5846" i="1"/>
  <c r="C5846" i="1"/>
  <c r="C5848" i="1" s="1"/>
  <c r="Q5845" i="1"/>
  <c r="O5842" i="1"/>
  <c r="M5842" i="1"/>
  <c r="K5842" i="1"/>
  <c r="I5842" i="1"/>
  <c r="G5842" i="1"/>
  <c r="E5842" i="1"/>
  <c r="C5842" i="1"/>
  <c r="Q5841" i="1"/>
  <c r="Q5842" i="1" s="1"/>
  <c r="O5838" i="1"/>
  <c r="M5838" i="1"/>
  <c r="K5838" i="1"/>
  <c r="K5848" i="1" s="1"/>
  <c r="K5923" i="1" s="1"/>
  <c r="I5838" i="1"/>
  <c r="I5848" i="1" s="1"/>
  <c r="I5923" i="1" s="1"/>
  <c r="G5838" i="1"/>
  <c r="G5848" i="1" s="1"/>
  <c r="G5923" i="1" s="1"/>
  <c r="E5838" i="1"/>
  <c r="C5838" i="1"/>
  <c r="Q5837" i="1"/>
  <c r="Q5836" i="1"/>
  <c r="Q5835" i="1"/>
  <c r="Q5834" i="1"/>
  <c r="Q5838" i="1" s="1"/>
  <c r="Q5826" i="1"/>
  <c r="O5826" i="1"/>
  <c r="M5826" i="1"/>
  <c r="Q5825" i="1"/>
  <c r="O5825" i="1"/>
  <c r="M5825" i="1"/>
  <c r="K5825" i="1"/>
  <c r="G5825" i="1"/>
  <c r="E5825" i="1"/>
  <c r="C5825" i="1"/>
  <c r="M5824" i="1"/>
  <c r="I5824" i="1"/>
  <c r="E5821" i="1"/>
  <c r="E5820" i="1"/>
  <c r="E5819" i="1"/>
  <c r="Q5760" i="1"/>
  <c r="O5760" i="1"/>
  <c r="M5760" i="1"/>
  <c r="Q5759" i="1"/>
  <c r="O5759" i="1"/>
  <c r="M5759" i="1"/>
  <c r="K5759" i="1"/>
  <c r="G5759" i="1"/>
  <c r="E5759" i="1"/>
  <c r="C5759" i="1"/>
  <c r="M5758" i="1"/>
  <c r="I5758" i="1"/>
  <c r="E5755" i="1"/>
  <c r="E5754" i="1"/>
  <c r="E5753" i="1"/>
  <c r="O5745" i="1"/>
  <c r="M5745" i="1"/>
  <c r="K5745" i="1"/>
  <c r="I5745" i="1"/>
  <c r="G5745" i="1"/>
  <c r="E5745" i="1"/>
  <c r="C5745" i="1"/>
  <c r="Q5744" i="1"/>
  <c r="Q5745" i="1" s="1"/>
  <c r="O5740" i="1"/>
  <c r="O5747" i="1" s="1"/>
  <c r="O5763" i="1" s="1"/>
  <c r="M5740" i="1"/>
  <c r="M5747" i="1" s="1"/>
  <c r="M5763" i="1" s="1"/>
  <c r="K5740" i="1"/>
  <c r="K5747" i="1" s="1"/>
  <c r="K5763" i="1" s="1"/>
  <c r="I5740" i="1"/>
  <c r="I5747" i="1" s="1"/>
  <c r="I5763" i="1" s="1"/>
  <c r="G5740" i="1"/>
  <c r="G5747" i="1" s="1"/>
  <c r="G5763" i="1" s="1"/>
  <c r="E5740" i="1"/>
  <c r="E5747" i="1" s="1"/>
  <c r="E5763" i="1" s="1"/>
  <c r="C5740" i="1"/>
  <c r="C5747" i="1" s="1"/>
  <c r="C5763" i="1" s="1"/>
  <c r="Q5739" i="1"/>
  <c r="Q5738" i="1"/>
  <c r="Q5740" i="1" s="1"/>
  <c r="Q5747" i="1" s="1"/>
  <c r="Q5763" i="1" s="1"/>
  <c r="Q5735" i="1"/>
  <c r="O5735" i="1"/>
  <c r="M5735" i="1"/>
  <c r="Q5734" i="1"/>
  <c r="O5734" i="1"/>
  <c r="M5734" i="1"/>
  <c r="K5734" i="1"/>
  <c r="G5734" i="1"/>
  <c r="E5734" i="1"/>
  <c r="C5734" i="1"/>
  <c r="M5733" i="1"/>
  <c r="I5733" i="1"/>
  <c r="E5730" i="1"/>
  <c r="E5729" i="1"/>
  <c r="E5728" i="1"/>
  <c r="O5707" i="1"/>
  <c r="O5765" i="1" s="1"/>
  <c r="O5705" i="1"/>
  <c r="M5705" i="1"/>
  <c r="K5705" i="1"/>
  <c r="I5705" i="1"/>
  <c r="G5705" i="1"/>
  <c r="E5705" i="1"/>
  <c r="C5705" i="1"/>
  <c r="Q5704" i="1"/>
  <c r="Q5705" i="1" s="1"/>
  <c r="O5701" i="1"/>
  <c r="M5701" i="1"/>
  <c r="M5707" i="1" s="1"/>
  <c r="K5701" i="1"/>
  <c r="K5707" i="1" s="1"/>
  <c r="K5765" i="1" s="1"/>
  <c r="I5701" i="1"/>
  <c r="I5707" i="1" s="1"/>
  <c r="G5701" i="1"/>
  <c r="E5701" i="1"/>
  <c r="E5707" i="1" s="1"/>
  <c r="E5765" i="1" s="1"/>
  <c r="C5701" i="1"/>
  <c r="C5707" i="1" s="1"/>
  <c r="C5765" i="1" s="1"/>
  <c r="Q5700" i="1"/>
  <c r="C5695" i="1"/>
  <c r="Q5692" i="1"/>
  <c r="O5692" i="1"/>
  <c r="M5692" i="1"/>
  <c r="Q5691" i="1"/>
  <c r="O5691" i="1"/>
  <c r="M5691" i="1"/>
  <c r="K5691" i="1"/>
  <c r="G5691" i="1"/>
  <c r="E5691" i="1"/>
  <c r="C5691" i="1"/>
  <c r="M5690" i="1"/>
  <c r="I5690" i="1"/>
  <c r="E5687" i="1"/>
  <c r="E5686" i="1"/>
  <c r="E5685" i="1"/>
  <c r="M5658" i="1"/>
  <c r="Q5655" i="1"/>
  <c r="O5655" i="1"/>
  <c r="M5655" i="1"/>
  <c r="Q5654" i="1"/>
  <c r="O5654" i="1"/>
  <c r="M5654" i="1"/>
  <c r="K5654" i="1"/>
  <c r="G5654" i="1"/>
  <c r="E5654" i="1"/>
  <c r="C5654" i="1"/>
  <c r="M5653" i="1"/>
  <c r="I5653" i="1"/>
  <c r="E5650" i="1"/>
  <c r="E5649" i="1"/>
  <c r="E5648" i="1"/>
  <c r="M5642" i="1"/>
  <c r="G5642" i="1"/>
  <c r="G5658" i="1" s="1"/>
  <c r="Q5640" i="1"/>
  <c r="O5640" i="1"/>
  <c r="M5640" i="1"/>
  <c r="K5640" i="1"/>
  <c r="I5640" i="1"/>
  <c r="G5640" i="1"/>
  <c r="E5640" i="1"/>
  <c r="C5640" i="1"/>
  <c r="Q5639" i="1"/>
  <c r="O5636" i="1"/>
  <c r="M5636" i="1"/>
  <c r="K5636" i="1"/>
  <c r="I5636" i="1"/>
  <c r="G5636" i="1"/>
  <c r="E5636" i="1"/>
  <c r="C5636" i="1"/>
  <c r="Q5635" i="1"/>
  <c r="Q5634" i="1"/>
  <c r="O5632" i="1"/>
  <c r="M5632" i="1"/>
  <c r="K5632" i="1"/>
  <c r="I5632" i="1"/>
  <c r="I5642" i="1" s="1"/>
  <c r="I5658" i="1" s="1"/>
  <c r="G5632" i="1"/>
  <c r="E5632" i="1"/>
  <c r="C5632" i="1"/>
  <c r="Q5631" i="1"/>
  <c r="Q5630" i="1"/>
  <c r="Q5629" i="1"/>
  <c r="Q5628" i="1"/>
  <c r="Q5627" i="1"/>
  <c r="O5624" i="1"/>
  <c r="M5624" i="1"/>
  <c r="K5624" i="1"/>
  <c r="I5624" i="1"/>
  <c r="G5624" i="1"/>
  <c r="E5624" i="1"/>
  <c r="C5624" i="1"/>
  <c r="Q5623" i="1"/>
  <c r="Q5624" i="1" s="1"/>
  <c r="O5620" i="1"/>
  <c r="M5620" i="1"/>
  <c r="K5620" i="1"/>
  <c r="I5620" i="1"/>
  <c r="G5620" i="1"/>
  <c r="E5620" i="1"/>
  <c r="C5620" i="1"/>
  <c r="Q5619" i="1"/>
  <c r="Q5618" i="1"/>
  <c r="Q5617" i="1"/>
  <c r="Q5616" i="1"/>
  <c r="Q5615" i="1"/>
  <c r="Q5614" i="1"/>
  <c r="Q5613" i="1"/>
  <c r="Q5610" i="1"/>
  <c r="O5610" i="1"/>
  <c r="M5610" i="1"/>
  <c r="Q5609" i="1"/>
  <c r="O5609" i="1"/>
  <c r="M5609" i="1"/>
  <c r="K5609" i="1"/>
  <c r="G5609" i="1"/>
  <c r="E5609" i="1"/>
  <c r="C5609" i="1"/>
  <c r="M5608" i="1"/>
  <c r="I5608" i="1"/>
  <c r="E5605" i="1"/>
  <c r="E5604" i="1"/>
  <c r="E5603" i="1"/>
  <c r="M5582" i="1"/>
  <c r="C5582" i="1"/>
  <c r="Q5580" i="1"/>
  <c r="O5580" i="1"/>
  <c r="O5582" i="1" s="1"/>
  <c r="M5580" i="1"/>
  <c r="K5580" i="1"/>
  <c r="I5580" i="1"/>
  <c r="G5580" i="1"/>
  <c r="E5580" i="1"/>
  <c r="C5580" i="1"/>
  <c r="Q5579" i="1"/>
  <c r="O5576" i="1"/>
  <c r="M5576" i="1"/>
  <c r="K5576" i="1"/>
  <c r="I5576" i="1"/>
  <c r="G5576" i="1"/>
  <c r="E5576" i="1"/>
  <c r="C5576" i="1"/>
  <c r="Q5575" i="1"/>
  <c r="Q5576" i="1" s="1"/>
  <c r="O5572" i="1"/>
  <c r="M5572" i="1"/>
  <c r="K5572" i="1"/>
  <c r="K5582" i="1" s="1"/>
  <c r="I5572" i="1"/>
  <c r="G5572" i="1"/>
  <c r="G5582" i="1" s="1"/>
  <c r="G5660" i="1" s="1"/>
  <c r="E5572" i="1"/>
  <c r="E5582" i="1" s="1"/>
  <c r="C5572" i="1"/>
  <c r="Q5571" i="1"/>
  <c r="Q5570" i="1"/>
  <c r="Q5569" i="1"/>
  <c r="Q5568" i="1"/>
  <c r="Q5572" i="1" s="1"/>
  <c r="Q5582" i="1" s="1"/>
  <c r="Q5560" i="1"/>
  <c r="O5560" i="1"/>
  <c r="M5560" i="1"/>
  <c r="Q5559" i="1"/>
  <c r="O5559" i="1"/>
  <c r="M5559" i="1"/>
  <c r="K5559" i="1"/>
  <c r="G5559" i="1"/>
  <c r="E5559" i="1"/>
  <c r="C5559" i="1"/>
  <c r="M5558" i="1"/>
  <c r="I5558" i="1"/>
  <c r="E5555" i="1"/>
  <c r="E5554" i="1"/>
  <c r="E5553" i="1"/>
  <c r="Q5503" i="1"/>
  <c r="O5503" i="1"/>
  <c r="M5503" i="1"/>
  <c r="Q5502" i="1"/>
  <c r="O5502" i="1"/>
  <c r="M5502" i="1"/>
  <c r="K5502" i="1"/>
  <c r="G5502" i="1"/>
  <c r="E5502" i="1"/>
  <c r="C5502" i="1"/>
  <c r="M5501" i="1"/>
  <c r="I5501" i="1"/>
  <c r="E5498" i="1"/>
  <c r="E5497" i="1"/>
  <c r="E5496" i="1"/>
  <c r="Q5484" i="1"/>
  <c r="O5484" i="1"/>
  <c r="M5484" i="1"/>
  <c r="K5484" i="1"/>
  <c r="I5484" i="1"/>
  <c r="G5484" i="1"/>
  <c r="E5484" i="1"/>
  <c r="C5484" i="1"/>
  <c r="Q5483" i="1"/>
  <c r="Q5480" i="1"/>
  <c r="O5480" i="1"/>
  <c r="M5480" i="1"/>
  <c r="K5480" i="1"/>
  <c r="I5480" i="1"/>
  <c r="G5480" i="1"/>
  <c r="E5480" i="1"/>
  <c r="E5486" i="1" s="1"/>
  <c r="C5480" i="1"/>
  <c r="Q5479" i="1"/>
  <c r="Q5478" i="1"/>
  <c r="O5476" i="1"/>
  <c r="O5486" i="1" s="1"/>
  <c r="M5476" i="1"/>
  <c r="M5486" i="1" s="1"/>
  <c r="K5476" i="1"/>
  <c r="K5486" i="1" s="1"/>
  <c r="I5476" i="1"/>
  <c r="I5486" i="1" s="1"/>
  <c r="G5476" i="1"/>
  <c r="E5476" i="1"/>
  <c r="C5476" i="1"/>
  <c r="C5486" i="1" s="1"/>
  <c r="Q5475" i="1"/>
  <c r="Q5474" i="1"/>
  <c r="Q5473" i="1"/>
  <c r="O5470" i="1"/>
  <c r="M5470" i="1"/>
  <c r="K5470" i="1"/>
  <c r="I5470" i="1"/>
  <c r="G5470" i="1"/>
  <c r="E5470" i="1"/>
  <c r="C5470" i="1"/>
  <c r="Q5469" i="1"/>
  <c r="Q5470" i="1" s="1"/>
  <c r="O5466" i="1"/>
  <c r="M5466" i="1"/>
  <c r="K5466" i="1"/>
  <c r="I5466" i="1"/>
  <c r="G5466" i="1"/>
  <c r="E5466" i="1"/>
  <c r="C5466" i="1"/>
  <c r="Q5465" i="1"/>
  <c r="Q5464" i="1"/>
  <c r="Q5463" i="1"/>
  <c r="Q5462" i="1"/>
  <c r="Q5461" i="1"/>
  <c r="Q5466" i="1" s="1"/>
  <c r="Q5458" i="1"/>
  <c r="O5458" i="1"/>
  <c r="M5458" i="1"/>
  <c r="Q5457" i="1"/>
  <c r="O5457" i="1"/>
  <c r="M5457" i="1"/>
  <c r="K5457" i="1"/>
  <c r="G5457" i="1"/>
  <c r="E5457" i="1"/>
  <c r="C5457" i="1"/>
  <c r="M5456" i="1"/>
  <c r="I5456" i="1"/>
  <c r="E5453" i="1"/>
  <c r="E5452" i="1"/>
  <c r="E5451" i="1"/>
  <c r="O5445" i="1"/>
  <c r="G5445" i="1"/>
  <c r="E5445" i="1"/>
  <c r="C5445" i="1"/>
  <c r="O5443" i="1"/>
  <c r="M5443" i="1"/>
  <c r="M5445" i="1" s="1"/>
  <c r="K5443" i="1"/>
  <c r="I5443" i="1"/>
  <c r="G5443" i="1"/>
  <c r="E5443" i="1"/>
  <c r="C5443" i="1"/>
  <c r="Q5442" i="1"/>
  <c r="Q5441" i="1"/>
  <c r="O5438" i="1"/>
  <c r="M5438" i="1"/>
  <c r="K5438" i="1"/>
  <c r="K5445" i="1" s="1"/>
  <c r="I5438" i="1"/>
  <c r="I5445" i="1" s="1"/>
  <c r="G5438" i="1"/>
  <c r="E5438" i="1"/>
  <c r="C5438" i="1"/>
  <c r="Q5437" i="1"/>
  <c r="Q5436" i="1"/>
  <c r="Q5435" i="1"/>
  <c r="Q5434" i="1"/>
  <c r="Q5433" i="1"/>
  <c r="Q5432" i="1"/>
  <c r="Q5431" i="1"/>
  <c r="Q5429" i="1"/>
  <c r="Q5428" i="1"/>
  <c r="Q5427" i="1"/>
  <c r="Q5426" i="1"/>
  <c r="Q5425" i="1"/>
  <c r="Q5424" i="1"/>
  <c r="Q5423" i="1"/>
  <c r="Q5422" i="1"/>
  <c r="Q5421" i="1"/>
  <c r="Q5420" i="1"/>
  <c r="Q5419" i="1"/>
  <c r="Q5418" i="1"/>
  <c r="Q5417" i="1"/>
  <c r="Q5416" i="1"/>
  <c r="Q5415" i="1"/>
  <c r="Q5414" i="1"/>
  <c r="Q5413" i="1"/>
  <c r="Q5412" i="1"/>
  <c r="Q5411" i="1"/>
  <c r="Q5410" i="1"/>
  <c r="Q5409" i="1"/>
  <c r="K5409" i="1"/>
  <c r="Q5408" i="1"/>
  <c r="Q5407" i="1"/>
  <c r="Q5406" i="1"/>
  <c r="Q5405" i="1"/>
  <c r="Q5404" i="1"/>
  <c r="Q5403" i="1"/>
  <c r="Q5402" i="1"/>
  <c r="Q5401" i="1"/>
  <c r="Q5400" i="1"/>
  <c r="Q5399" i="1"/>
  <c r="Q5398" i="1"/>
  <c r="Q5397" i="1"/>
  <c r="Q5396" i="1"/>
  <c r="Q5395" i="1"/>
  <c r="Q5394" i="1"/>
  <c r="Q5438" i="1" s="1"/>
  <c r="Q5391" i="1"/>
  <c r="O5391" i="1"/>
  <c r="M5391" i="1"/>
  <c r="Q5390" i="1"/>
  <c r="O5390" i="1"/>
  <c r="M5390" i="1"/>
  <c r="K5390" i="1"/>
  <c r="G5390" i="1"/>
  <c r="E5390" i="1"/>
  <c r="C5390" i="1"/>
  <c r="M5389" i="1"/>
  <c r="I5389" i="1"/>
  <c r="E5386" i="1"/>
  <c r="E5385" i="1"/>
  <c r="E5384" i="1"/>
  <c r="M5373" i="1"/>
  <c r="C5373" i="1"/>
  <c r="O5371" i="1"/>
  <c r="M5371" i="1"/>
  <c r="K5371" i="1"/>
  <c r="I5371" i="1"/>
  <c r="G5371" i="1"/>
  <c r="E5371" i="1"/>
  <c r="C5371" i="1"/>
  <c r="Q5370" i="1"/>
  <c r="Q5369" i="1"/>
  <c r="Q5371" i="1" s="1"/>
  <c r="O5367" i="1"/>
  <c r="M5367" i="1"/>
  <c r="I5367" i="1"/>
  <c r="G5367" i="1"/>
  <c r="E5367" i="1"/>
  <c r="C5367" i="1"/>
  <c r="Q5366" i="1"/>
  <c r="Q5365" i="1"/>
  <c r="K5365" i="1"/>
  <c r="Q5364" i="1"/>
  <c r="Q5363" i="1"/>
  <c r="Q5362" i="1"/>
  <c r="Q5361" i="1"/>
  <c r="K5361" i="1"/>
  <c r="K5367" i="1" s="1"/>
  <c r="Q5360" i="1"/>
  <c r="Q5359" i="1"/>
  <c r="Q5358" i="1"/>
  <c r="Q5357" i="1"/>
  <c r="Q5356" i="1"/>
  <c r="Q5355" i="1"/>
  <c r="Q5354" i="1"/>
  <c r="Q5353" i="1"/>
  <c r="Q5352" i="1"/>
  <c r="Q5367" i="1" s="1"/>
  <c r="O5349" i="1"/>
  <c r="M5349" i="1"/>
  <c r="K5349" i="1"/>
  <c r="I5349" i="1"/>
  <c r="G5349" i="1"/>
  <c r="E5349" i="1"/>
  <c r="C5349" i="1"/>
  <c r="Q5348" i="1"/>
  <c r="Q5347" i="1"/>
  <c r="Q5346" i="1"/>
  <c r="Q5345" i="1"/>
  <c r="Q5344" i="1"/>
  <c r="Q5343" i="1"/>
  <c r="Q5342" i="1"/>
  <c r="Q5341" i="1"/>
  <c r="Q5349" i="1" s="1"/>
  <c r="Q5340" i="1"/>
  <c r="Q5339" i="1"/>
  <c r="O5336" i="1"/>
  <c r="O5373" i="1" s="1"/>
  <c r="M5336" i="1"/>
  <c r="I5336" i="1"/>
  <c r="I5373" i="1" s="1"/>
  <c r="G5336" i="1"/>
  <c r="E5336" i="1"/>
  <c r="E5373" i="1" s="1"/>
  <c r="C5336" i="1"/>
  <c r="Q5335" i="1"/>
  <c r="Q5334" i="1"/>
  <c r="Q5333" i="1"/>
  <c r="Q5332" i="1"/>
  <c r="Q5331" i="1"/>
  <c r="Q5330" i="1"/>
  <c r="Q5336" i="1" s="1"/>
  <c r="Q5329" i="1"/>
  <c r="K5329" i="1"/>
  <c r="K5336" i="1" s="1"/>
  <c r="Q5326" i="1"/>
  <c r="O5326" i="1"/>
  <c r="M5326" i="1"/>
  <c r="Q5325" i="1"/>
  <c r="O5325" i="1"/>
  <c r="M5325" i="1"/>
  <c r="K5325" i="1"/>
  <c r="G5325" i="1"/>
  <c r="E5325" i="1"/>
  <c r="C5325" i="1"/>
  <c r="M5324" i="1"/>
  <c r="I5324" i="1"/>
  <c r="E5321" i="1"/>
  <c r="E5320" i="1"/>
  <c r="E5319" i="1"/>
  <c r="K5284" i="1"/>
  <c r="E5284" i="1"/>
  <c r="O5282" i="1"/>
  <c r="M5282" i="1"/>
  <c r="K5282" i="1"/>
  <c r="I5282" i="1"/>
  <c r="I5284" i="1" s="1"/>
  <c r="I5506" i="1" s="1"/>
  <c r="G5282" i="1"/>
  <c r="E5282" i="1"/>
  <c r="C5282" i="1"/>
  <c r="Q5281" i="1"/>
  <c r="Q5282" i="1" s="1"/>
  <c r="O5278" i="1"/>
  <c r="O5284" i="1" s="1"/>
  <c r="O5506" i="1" s="1"/>
  <c r="M5278" i="1"/>
  <c r="M5284" i="1" s="1"/>
  <c r="K5278" i="1"/>
  <c r="I5278" i="1"/>
  <c r="G5278" i="1"/>
  <c r="G5284" i="1" s="1"/>
  <c r="E5278" i="1"/>
  <c r="C5278" i="1"/>
  <c r="C5284" i="1" s="1"/>
  <c r="C5506" i="1" s="1"/>
  <c r="Q5277" i="1"/>
  <c r="Q5276" i="1"/>
  <c r="Q5275" i="1"/>
  <c r="Q5274" i="1"/>
  <c r="Q5273" i="1"/>
  <c r="Q5272" i="1"/>
  <c r="Q5271" i="1"/>
  <c r="Q5270" i="1"/>
  <c r="Q5267" i="1"/>
  <c r="O5267" i="1"/>
  <c r="M5267" i="1"/>
  <c r="Q5266" i="1"/>
  <c r="O5266" i="1"/>
  <c r="M5266" i="1"/>
  <c r="K5266" i="1"/>
  <c r="G5266" i="1"/>
  <c r="E5266" i="1"/>
  <c r="C5266" i="1"/>
  <c r="M5265" i="1"/>
  <c r="I5265" i="1"/>
  <c r="E5262" i="1"/>
  <c r="E5261" i="1"/>
  <c r="E5260" i="1"/>
  <c r="O5214" i="1"/>
  <c r="M5214" i="1"/>
  <c r="K5214" i="1"/>
  <c r="I5214" i="1"/>
  <c r="G5214" i="1"/>
  <c r="E5214" i="1"/>
  <c r="C5214" i="1"/>
  <c r="Q5213" i="1"/>
  <c r="Q5212" i="1"/>
  <c r="Q5211" i="1"/>
  <c r="Q5210" i="1"/>
  <c r="Q5209" i="1"/>
  <c r="Q5208" i="1"/>
  <c r="Q5207" i="1"/>
  <c r="Q5206" i="1"/>
  <c r="Q5205" i="1"/>
  <c r="Q5202" i="1"/>
  <c r="O5202" i="1"/>
  <c r="M5202" i="1"/>
  <c r="Q5201" i="1"/>
  <c r="O5201" i="1"/>
  <c r="M5201" i="1"/>
  <c r="K5201" i="1"/>
  <c r="G5201" i="1"/>
  <c r="E5201" i="1"/>
  <c r="C5201" i="1"/>
  <c r="M5200" i="1"/>
  <c r="I5200" i="1"/>
  <c r="E5197" i="1"/>
  <c r="E5196" i="1"/>
  <c r="E5195" i="1"/>
  <c r="O5190" i="1"/>
  <c r="C5190" i="1"/>
  <c r="O5188" i="1"/>
  <c r="M5188" i="1"/>
  <c r="M5190" i="1" s="1"/>
  <c r="K5188" i="1"/>
  <c r="I5188" i="1"/>
  <c r="G5188" i="1"/>
  <c r="E5188" i="1"/>
  <c r="C5188" i="1"/>
  <c r="Q5187" i="1"/>
  <c r="Q5186" i="1"/>
  <c r="Q5185" i="1"/>
  <c r="Q5184" i="1"/>
  <c r="Q5183" i="1"/>
  <c r="Q5182" i="1"/>
  <c r="Q5181" i="1"/>
  <c r="Q5180" i="1"/>
  <c r="Q5179" i="1"/>
  <c r="Q5188" i="1" s="1"/>
  <c r="O5175" i="1"/>
  <c r="M5175" i="1"/>
  <c r="I5175" i="1"/>
  <c r="G5175" i="1"/>
  <c r="G5190" i="1" s="1"/>
  <c r="E5175" i="1"/>
  <c r="E5190" i="1" s="1"/>
  <c r="C5175" i="1"/>
  <c r="Q5174" i="1"/>
  <c r="Q5173" i="1"/>
  <c r="Q5172" i="1"/>
  <c r="Q5171" i="1"/>
  <c r="Q5169" i="1"/>
  <c r="Q5168" i="1"/>
  <c r="Q5167" i="1"/>
  <c r="Q5166" i="1"/>
  <c r="Q5165" i="1"/>
  <c r="Q5164" i="1"/>
  <c r="Q5163" i="1"/>
  <c r="Q5162" i="1"/>
  <c r="Q5161" i="1"/>
  <c r="Q5160" i="1"/>
  <c r="Q5159" i="1"/>
  <c r="Q5158" i="1"/>
  <c r="Q5157" i="1"/>
  <c r="Q5156" i="1"/>
  <c r="Q5155" i="1"/>
  <c r="Q5154" i="1"/>
  <c r="Q5153" i="1"/>
  <c r="Q5152" i="1"/>
  <c r="Q5151" i="1"/>
  <c r="Q5150" i="1"/>
  <c r="K5150" i="1"/>
  <c r="K5175" i="1" s="1"/>
  <c r="K5190" i="1" s="1"/>
  <c r="Q5149" i="1"/>
  <c r="Q5148" i="1"/>
  <c r="Q5147" i="1"/>
  <c r="Q5146" i="1"/>
  <c r="Q5145" i="1"/>
  <c r="Q5144" i="1"/>
  <c r="Q5143" i="1"/>
  <c r="Q5142" i="1"/>
  <c r="Q5141" i="1"/>
  <c r="Q5138" i="1"/>
  <c r="Q5137" i="1"/>
  <c r="Q5136" i="1"/>
  <c r="Q5135" i="1"/>
  <c r="Q5134" i="1"/>
  <c r="Q5133" i="1"/>
  <c r="K5133" i="1"/>
  <c r="Q5132" i="1"/>
  <c r="Q5131" i="1"/>
  <c r="Q5129" i="1"/>
  <c r="Q5128" i="1"/>
  <c r="Q5127" i="1"/>
  <c r="Q5126" i="1"/>
  <c r="Q5125" i="1"/>
  <c r="C5120" i="1"/>
  <c r="Q5117" i="1"/>
  <c r="O5117" i="1"/>
  <c r="M5117" i="1"/>
  <c r="Q5116" i="1"/>
  <c r="O5116" i="1"/>
  <c r="M5116" i="1"/>
  <c r="K5116" i="1"/>
  <c r="G5116" i="1"/>
  <c r="E5116" i="1"/>
  <c r="C5116" i="1"/>
  <c r="M5115" i="1"/>
  <c r="I5115" i="1"/>
  <c r="E5112" i="1"/>
  <c r="E5111" i="1"/>
  <c r="E5110" i="1"/>
  <c r="C5099" i="1"/>
  <c r="Q5094" i="1"/>
  <c r="O5094" i="1"/>
  <c r="M5094" i="1"/>
  <c r="Q5093" i="1"/>
  <c r="O5093" i="1"/>
  <c r="M5093" i="1"/>
  <c r="K5093" i="1"/>
  <c r="G5093" i="1"/>
  <c r="E5093" i="1"/>
  <c r="C5093" i="1"/>
  <c r="M5092" i="1"/>
  <c r="I5092" i="1"/>
  <c r="A5090" i="1"/>
  <c r="E5089" i="1"/>
  <c r="E5088" i="1"/>
  <c r="E5087" i="1"/>
  <c r="E5080" i="1"/>
  <c r="E5097" i="1" s="1"/>
  <c r="O5078" i="1"/>
  <c r="M5078" i="1"/>
  <c r="M5080" i="1" s="1"/>
  <c r="M5097" i="1" s="1"/>
  <c r="K5078" i="1"/>
  <c r="I5078" i="1"/>
  <c r="I5080" i="1" s="1"/>
  <c r="I5097" i="1" s="1"/>
  <c r="G5078" i="1"/>
  <c r="E5078" i="1"/>
  <c r="C5078" i="1"/>
  <c r="Q5077" i="1"/>
  <c r="Q5078" i="1" s="1"/>
  <c r="O5073" i="1"/>
  <c r="O5080" i="1" s="1"/>
  <c r="O5097" i="1" s="1"/>
  <c r="M5073" i="1"/>
  <c r="K5073" i="1"/>
  <c r="K5080" i="1" s="1"/>
  <c r="K5097" i="1" s="1"/>
  <c r="I5073" i="1"/>
  <c r="G5073" i="1"/>
  <c r="G5080" i="1" s="1"/>
  <c r="G5097" i="1" s="1"/>
  <c r="E5073" i="1"/>
  <c r="C5073" i="1"/>
  <c r="C5080" i="1" s="1"/>
  <c r="C5097" i="1" s="1"/>
  <c r="Q5072" i="1"/>
  <c r="Q5071" i="1"/>
  <c r="Q5070" i="1"/>
  <c r="Q5069" i="1"/>
  <c r="Q5068" i="1"/>
  <c r="Q5067" i="1"/>
  <c r="Q5066" i="1"/>
  <c r="Q5062" i="1"/>
  <c r="O5062" i="1"/>
  <c r="M5062" i="1"/>
  <c r="Q5061" i="1"/>
  <c r="O5061" i="1"/>
  <c r="M5061" i="1"/>
  <c r="K5061" i="1"/>
  <c r="G5061" i="1"/>
  <c r="E5061" i="1"/>
  <c r="C5061" i="1"/>
  <c r="M5060" i="1"/>
  <c r="I5060" i="1"/>
  <c r="A5058" i="1"/>
  <c r="E5057" i="1"/>
  <c r="E5056" i="1"/>
  <c r="E5055" i="1"/>
  <c r="K5034" i="1"/>
  <c r="G5034" i="1"/>
  <c r="O5032" i="1"/>
  <c r="M5032" i="1"/>
  <c r="M5034" i="1" s="1"/>
  <c r="K5032" i="1"/>
  <c r="I5032" i="1"/>
  <c r="G5032" i="1"/>
  <c r="E5032" i="1"/>
  <c r="C5032" i="1"/>
  <c r="Q5031" i="1"/>
  <c r="Q5032" i="1" s="1"/>
  <c r="O5028" i="1"/>
  <c r="O5034" i="1" s="1"/>
  <c r="O5099" i="1" s="1"/>
  <c r="M5028" i="1"/>
  <c r="K5028" i="1"/>
  <c r="I5028" i="1"/>
  <c r="I5034" i="1" s="1"/>
  <c r="I5099" i="1" s="1"/>
  <c r="G5028" i="1"/>
  <c r="E5028" i="1"/>
  <c r="C5028" i="1"/>
  <c r="C5034" i="1" s="1"/>
  <c r="C5037" i="1" s="1"/>
  <c r="Q5027" i="1"/>
  <c r="Q5026" i="1"/>
  <c r="Q5025" i="1"/>
  <c r="Q5028" i="1" s="1"/>
  <c r="Q5017" i="1"/>
  <c r="O5017" i="1"/>
  <c r="M5017" i="1"/>
  <c r="Q5016" i="1"/>
  <c r="O5016" i="1"/>
  <c r="M5016" i="1"/>
  <c r="K5016" i="1"/>
  <c r="G5016" i="1"/>
  <c r="E5016" i="1"/>
  <c r="C5016" i="1"/>
  <c r="M5015" i="1"/>
  <c r="I5015" i="1"/>
  <c r="E5012" i="1"/>
  <c r="E5011" i="1"/>
  <c r="E5010" i="1"/>
  <c r="C4998" i="1"/>
  <c r="E4890" i="1" s="1"/>
  <c r="G4992" i="1"/>
  <c r="Q4989" i="1"/>
  <c r="O4989" i="1"/>
  <c r="M4989" i="1"/>
  <c r="Q4988" i="1"/>
  <c r="O4988" i="1"/>
  <c r="M4988" i="1"/>
  <c r="K4988" i="1"/>
  <c r="G4988" i="1"/>
  <c r="E4988" i="1"/>
  <c r="C4988" i="1"/>
  <c r="M4987" i="1"/>
  <c r="I4987" i="1"/>
  <c r="E4984" i="1"/>
  <c r="E4983" i="1"/>
  <c r="E4982" i="1"/>
  <c r="G4976" i="1"/>
  <c r="O4974" i="1"/>
  <c r="O4976" i="1" s="1"/>
  <c r="O4992" i="1" s="1"/>
  <c r="M4974" i="1"/>
  <c r="K4974" i="1"/>
  <c r="I4974" i="1"/>
  <c r="G4974" i="1"/>
  <c r="E4974" i="1"/>
  <c r="C4974" i="1"/>
  <c r="C4976" i="1" s="1"/>
  <c r="C4992" i="1" s="1"/>
  <c r="Q4973" i="1"/>
  <c r="Q4972" i="1"/>
  <c r="Q4974" i="1" s="1"/>
  <c r="O4969" i="1"/>
  <c r="M4969" i="1"/>
  <c r="K4969" i="1"/>
  <c r="I4969" i="1"/>
  <c r="G4969" i="1"/>
  <c r="E4969" i="1"/>
  <c r="C4969" i="1"/>
  <c r="Q4968" i="1"/>
  <c r="Q4967" i="1"/>
  <c r="O4965" i="1"/>
  <c r="M4965" i="1"/>
  <c r="I4965" i="1"/>
  <c r="G4965" i="1"/>
  <c r="E4965" i="1"/>
  <c r="E4976" i="1" s="1"/>
  <c r="E4992" i="1" s="1"/>
  <c r="C4965" i="1"/>
  <c r="Q4964" i="1"/>
  <c r="Q4963" i="1"/>
  <c r="Q4962" i="1"/>
  <c r="Q4961" i="1"/>
  <c r="Q4960" i="1"/>
  <c r="K4960" i="1"/>
  <c r="Q4959" i="1"/>
  <c r="Q4958" i="1"/>
  <c r="Q4957" i="1"/>
  <c r="K4957" i="1"/>
  <c r="K4965" i="1" s="1"/>
  <c r="K4976" i="1" s="1"/>
  <c r="K4992" i="1" s="1"/>
  <c r="Q4956" i="1"/>
  <c r="Q4955" i="1"/>
  <c r="Q4954" i="1"/>
  <c r="Q4953" i="1"/>
  <c r="Q4950" i="1"/>
  <c r="O4950" i="1"/>
  <c r="M4950" i="1"/>
  <c r="K4950" i="1"/>
  <c r="I4950" i="1"/>
  <c r="G4950" i="1"/>
  <c r="E4950" i="1"/>
  <c r="C4950" i="1"/>
  <c r="Q4949" i="1"/>
  <c r="O4946" i="1"/>
  <c r="M4946" i="1"/>
  <c r="K4946" i="1"/>
  <c r="I4946" i="1"/>
  <c r="G4946" i="1"/>
  <c r="E4946" i="1"/>
  <c r="C4946" i="1"/>
  <c r="Q4945" i="1"/>
  <c r="Q4944" i="1"/>
  <c r="Q4943" i="1"/>
  <c r="Q4942" i="1"/>
  <c r="Q4941" i="1"/>
  <c r="Q4940" i="1"/>
  <c r="Q4939" i="1"/>
  <c r="Q4938" i="1"/>
  <c r="Q4935" i="1"/>
  <c r="O4935" i="1"/>
  <c r="M4935" i="1"/>
  <c r="Q4934" i="1"/>
  <c r="O4934" i="1"/>
  <c r="M4934" i="1"/>
  <c r="K4934" i="1"/>
  <c r="G4934" i="1"/>
  <c r="E4934" i="1"/>
  <c r="C4934" i="1"/>
  <c r="M4933" i="1"/>
  <c r="I4933" i="1"/>
  <c r="E4930" i="1"/>
  <c r="E4929" i="1"/>
  <c r="E4928" i="1"/>
  <c r="M4907" i="1"/>
  <c r="Q4905" i="1"/>
  <c r="O4905" i="1"/>
  <c r="M4905" i="1"/>
  <c r="K4905" i="1"/>
  <c r="I4905" i="1"/>
  <c r="I4907" i="1" s="1"/>
  <c r="G4905" i="1"/>
  <c r="E4905" i="1"/>
  <c r="E4907" i="1" s="1"/>
  <c r="E4994" i="1" s="1"/>
  <c r="C4905" i="1"/>
  <c r="Q4904" i="1"/>
  <c r="Q4903" i="1"/>
  <c r="O4900" i="1"/>
  <c r="M4900" i="1"/>
  <c r="K4900" i="1"/>
  <c r="I4900" i="1"/>
  <c r="G4900" i="1"/>
  <c r="G4907" i="1" s="1"/>
  <c r="E4900" i="1"/>
  <c r="C4900" i="1"/>
  <c r="Q4899" i="1"/>
  <c r="Q4900" i="1" s="1"/>
  <c r="Q4896" i="1"/>
  <c r="O4896" i="1"/>
  <c r="O4907" i="1" s="1"/>
  <c r="O4994" i="1" s="1"/>
  <c r="M4896" i="1"/>
  <c r="K4896" i="1"/>
  <c r="K4907" i="1" s="1"/>
  <c r="I4896" i="1"/>
  <c r="G4896" i="1"/>
  <c r="E4896" i="1"/>
  <c r="C4896" i="1"/>
  <c r="C4907" i="1" s="1"/>
  <c r="Q4895" i="1"/>
  <c r="Q4887" i="1"/>
  <c r="O4887" i="1"/>
  <c r="M4887" i="1"/>
  <c r="Q4886" i="1"/>
  <c r="O4886" i="1"/>
  <c r="M4886" i="1"/>
  <c r="K4886" i="1"/>
  <c r="G4886" i="1"/>
  <c r="E4886" i="1"/>
  <c r="C4886" i="1"/>
  <c r="M4885" i="1"/>
  <c r="I4885" i="1"/>
  <c r="E4882" i="1"/>
  <c r="E4881" i="1"/>
  <c r="E4880" i="1"/>
  <c r="Q4852" i="1"/>
  <c r="O4852" i="1"/>
  <c r="M4852" i="1"/>
  <c r="Q4851" i="1"/>
  <c r="O4851" i="1"/>
  <c r="M4851" i="1"/>
  <c r="K4851" i="1"/>
  <c r="G4851" i="1"/>
  <c r="E4851" i="1"/>
  <c r="C4851" i="1"/>
  <c r="M4850" i="1"/>
  <c r="I4850" i="1"/>
  <c r="E4847" i="1"/>
  <c r="E4846" i="1"/>
  <c r="E4845" i="1"/>
  <c r="G4826" i="1"/>
  <c r="O4824" i="1"/>
  <c r="M4824" i="1"/>
  <c r="K4824" i="1"/>
  <c r="I4824" i="1"/>
  <c r="G4824" i="1"/>
  <c r="E4824" i="1"/>
  <c r="C4824" i="1"/>
  <c r="Q4823" i="1"/>
  <c r="Q4822" i="1"/>
  <c r="Q4824" i="1" s="1"/>
  <c r="Q4821" i="1"/>
  <c r="O4818" i="1"/>
  <c r="M4818" i="1"/>
  <c r="K4818" i="1"/>
  <c r="I4818" i="1"/>
  <c r="G4818" i="1"/>
  <c r="E4818" i="1"/>
  <c r="C4818" i="1"/>
  <c r="Q4817" i="1"/>
  <c r="Q4818" i="1" s="1"/>
  <c r="Q4816" i="1"/>
  <c r="O4814" i="1"/>
  <c r="O4826" i="1" s="1"/>
  <c r="M4814" i="1"/>
  <c r="K4814" i="1"/>
  <c r="K4826" i="1" s="1"/>
  <c r="I4814" i="1"/>
  <c r="G4814" i="1"/>
  <c r="E4814" i="1"/>
  <c r="C4814" i="1"/>
  <c r="C4826" i="1" s="1"/>
  <c r="Q4813" i="1"/>
  <c r="Q4812" i="1"/>
  <c r="Q4811" i="1"/>
  <c r="Q4810" i="1"/>
  <c r="Q4809" i="1"/>
  <c r="Q4808" i="1"/>
  <c r="Q4807" i="1"/>
  <c r="Q4806" i="1"/>
  <c r="Q4805" i="1"/>
  <c r="Q4804" i="1"/>
  <c r="Q4803" i="1"/>
  <c r="Q4814" i="1" s="1"/>
  <c r="Q4800" i="1"/>
  <c r="O4800" i="1"/>
  <c r="M4800" i="1"/>
  <c r="K4800" i="1"/>
  <c r="I4800" i="1"/>
  <c r="G4800" i="1"/>
  <c r="E4800" i="1"/>
  <c r="C4800" i="1"/>
  <c r="Q4799" i="1"/>
  <c r="O4796" i="1"/>
  <c r="M4796" i="1"/>
  <c r="M4826" i="1" s="1"/>
  <c r="K4796" i="1"/>
  <c r="I4796" i="1"/>
  <c r="G4796" i="1"/>
  <c r="E4796" i="1"/>
  <c r="E4826" i="1" s="1"/>
  <c r="C4796" i="1"/>
  <c r="Q4795" i="1"/>
  <c r="Q4794" i="1"/>
  <c r="Q4793" i="1"/>
  <c r="Q4792" i="1"/>
  <c r="Q4791" i="1"/>
  <c r="Q4796" i="1" s="1"/>
  <c r="Q4826" i="1" s="1"/>
  <c r="Q4790" i="1"/>
  <c r="Q4789" i="1"/>
  <c r="Q4786" i="1"/>
  <c r="O4786" i="1"/>
  <c r="M4786" i="1"/>
  <c r="Q4785" i="1"/>
  <c r="O4785" i="1"/>
  <c r="M4785" i="1"/>
  <c r="K4785" i="1"/>
  <c r="G4785" i="1"/>
  <c r="E4785" i="1"/>
  <c r="C4785" i="1"/>
  <c r="M4784" i="1"/>
  <c r="I4784" i="1"/>
  <c r="E4781" i="1"/>
  <c r="E4780" i="1"/>
  <c r="E4779" i="1"/>
  <c r="G4738" i="1"/>
  <c r="G4854" i="1" s="1"/>
  <c r="O4736" i="1"/>
  <c r="M4736" i="1"/>
  <c r="K4736" i="1"/>
  <c r="I4736" i="1"/>
  <c r="G4736" i="1"/>
  <c r="E4736" i="1"/>
  <c r="C4736" i="1"/>
  <c r="Q4735" i="1"/>
  <c r="Q4734" i="1"/>
  <c r="Q4733" i="1"/>
  <c r="Q4731" i="1"/>
  <c r="Q4730" i="1"/>
  <c r="Q4727" i="1"/>
  <c r="O4727" i="1"/>
  <c r="M4727" i="1"/>
  <c r="K4727" i="1"/>
  <c r="I4727" i="1"/>
  <c r="G4727" i="1"/>
  <c r="E4727" i="1"/>
  <c r="C4727" i="1"/>
  <c r="Q4726" i="1"/>
  <c r="Q4725" i="1"/>
  <c r="Q4722" i="1"/>
  <c r="O4722" i="1"/>
  <c r="M4722" i="1"/>
  <c r="Q4721" i="1"/>
  <c r="O4721" i="1"/>
  <c r="M4721" i="1"/>
  <c r="K4721" i="1"/>
  <c r="G4721" i="1"/>
  <c r="E4721" i="1"/>
  <c r="C4721" i="1"/>
  <c r="M4720" i="1"/>
  <c r="I4720" i="1"/>
  <c r="E4717" i="1"/>
  <c r="E4716" i="1"/>
  <c r="E4715" i="1"/>
  <c r="O4709" i="1"/>
  <c r="M4709" i="1"/>
  <c r="K4709" i="1"/>
  <c r="I4709" i="1"/>
  <c r="G4709" i="1"/>
  <c r="E4709" i="1"/>
  <c r="C4709" i="1"/>
  <c r="Q4708" i="1"/>
  <c r="Q4707" i="1"/>
  <c r="Q4709" i="1" s="1"/>
  <c r="O4705" i="1"/>
  <c r="M4705" i="1"/>
  <c r="K4705" i="1"/>
  <c r="I4705" i="1"/>
  <c r="G4705" i="1"/>
  <c r="E4705" i="1"/>
  <c r="Q4704" i="1"/>
  <c r="Q4703" i="1"/>
  <c r="Q4702" i="1"/>
  <c r="Q4701" i="1"/>
  <c r="Q4700" i="1"/>
  <c r="Q4699" i="1"/>
  <c r="Q4698" i="1"/>
  <c r="Q4697" i="1"/>
  <c r="Q4696" i="1"/>
  <c r="Q4695" i="1"/>
  <c r="Q4694" i="1"/>
  <c r="K4694" i="1"/>
  <c r="Q4693" i="1"/>
  <c r="Q4692" i="1"/>
  <c r="K4692" i="1"/>
  <c r="Q4691" i="1"/>
  <c r="Q4690" i="1"/>
  <c r="Q4689" i="1"/>
  <c r="Q4688" i="1"/>
  <c r="Q4687" i="1"/>
  <c r="Q4686" i="1"/>
  <c r="C4686" i="1"/>
  <c r="C4705" i="1" s="1"/>
  <c r="Q4685" i="1"/>
  <c r="Q4684" i="1"/>
  <c r="Q4705" i="1" s="1"/>
  <c r="K4684" i="1"/>
  <c r="O4681" i="1"/>
  <c r="M4681" i="1"/>
  <c r="K4681" i="1"/>
  <c r="I4681" i="1"/>
  <c r="G4681" i="1"/>
  <c r="E4681" i="1"/>
  <c r="C4681" i="1"/>
  <c r="Q4680" i="1"/>
  <c r="Q4679" i="1"/>
  <c r="Q4678" i="1"/>
  <c r="Q4677" i="1"/>
  <c r="Q4676" i="1"/>
  <c r="Q4675" i="1"/>
  <c r="Q4674" i="1"/>
  <c r="Q4673" i="1"/>
  <c r="Q4672" i="1"/>
  <c r="Q4671" i="1"/>
  <c r="Q4670" i="1"/>
  <c r="Q4669" i="1"/>
  <c r="Q4668" i="1"/>
  <c r="O4665" i="1"/>
  <c r="M4665" i="1"/>
  <c r="I4665" i="1"/>
  <c r="I4738" i="1" s="1"/>
  <c r="G4665" i="1"/>
  <c r="E4665" i="1"/>
  <c r="E4738" i="1" s="1"/>
  <c r="E4854" i="1" s="1"/>
  <c r="C4665" i="1"/>
  <c r="Q4664" i="1"/>
  <c r="Q4663" i="1"/>
  <c r="Q4662" i="1"/>
  <c r="Q4661" i="1"/>
  <c r="Q4660" i="1"/>
  <c r="Q4659" i="1"/>
  <c r="Q4658" i="1"/>
  <c r="Q4657" i="1"/>
  <c r="K4657" i="1"/>
  <c r="K4665" i="1" s="1"/>
  <c r="K4738" i="1" s="1"/>
  <c r="K4854" i="1" s="1"/>
  <c r="Q4656" i="1"/>
  <c r="K4656" i="1"/>
  <c r="Q4653" i="1"/>
  <c r="O4653" i="1"/>
  <c r="M4653" i="1"/>
  <c r="Q4652" i="1"/>
  <c r="O4652" i="1"/>
  <c r="M4652" i="1"/>
  <c r="K4652" i="1"/>
  <c r="G4652" i="1"/>
  <c r="E4652" i="1"/>
  <c r="C4652" i="1"/>
  <c r="M4651" i="1"/>
  <c r="I4651" i="1"/>
  <c r="E4648" i="1"/>
  <c r="E4647" i="1"/>
  <c r="E4646" i="1"/>
  <c r="M4621" i="1"/>
  <c r="I4621" i="1"/>
  <c r="Q4619" i="1"/>
  <c r="O4619" i="1"/>
  <c r="M4619" i="1"/>
  <c r="K4619" i="1"/>
  <c r="I4619" i="1"/>
  <c r="G4619" i="1"/>
  <c r="E4619" i="1"/>
  <c r="E4621" i="1" s="1"/>
  <c r="E4856" i="1" s="1"/>
  <c r="C4619" i="1"/>
  <c r="Q4618" i="1"/>
  <c r="Q4617" i="1"/>
  <c r="Q4616" i="1"/>
  <c r="O4613" i="1"/>
  <c r="O4621" i="1" s="1"/>
  <c r="M4613" i="1"/>
  <c r="I4613" i="1"/>
  <c r="G4613" i="1"/>
  <c r="E4613" i="1"/>
  <c r="C4613" i="1"/>
  <c r="Q4612" i="1"/>
  <c r="Q4611" i="1"/>
  <c r="K4611" i="1"/>
  <c r="K4613" i="1" s="1"/>
  <c r="Q4610" i="1"/>
  <c r="Q4609" i="1"/>
  <c r="Q4608" i="1"/>
  <c r="Q4607" i="1"/>
  <c r="Q4606" i="1"/>
  <c r="O4603" i="1"/>
  <c r="M4603" i="1"/>
  <c r="K4603" i="1"/>
  <c r="I4603" i="1"/>
  <c r="G4603" i="1"/>
  <c r="E4603" i="1"/>
  <c r="C4603" i="1"/>
  <c r="Q4602" i="1"/>
  <c r="Q4601" i="1"/>
  <c r="Q4600" i="1"/>
  <c r="Q4599" i="1"/>
  <c r="Q4598" i="1"/>
  <c r="Q4597" i="1"/>
  <c r="Q4596" i="1"/>
  <c r="Q4603" i="1" s="1"/>
  <c r="Q4588" i="1"/>
  <c r="O4588" i="1"/>
  <c r="M4588" i="1"/>
  <c r="Q4587" i="1"/>
  <c r="O4587" i="1"/>
  <c r="M4587" i="1"/>
  <c r="K4587" i="1"/>
  <c r="G4587" i="1"/>
  <c r="E4587" i="1"/>
  <c r="C4587" i="1"/>
  <c r="M4586" i="1"/>
  <c r="I4586" i="1"/>
  <c r="E4583" i="1"/>
  <c r="E4582" i="1"/>
  <c r="E4581" i="1"/>
  <c r="Q4525" i="1"/>
  <c r="O4525" i="1"/>
  <c r="M4525" i="1"/>
  <c r="Q4524" i="1"/>
  <c r="O4524" i="1"/>
  <c r="M4524" i="1"/>
  <c r="K4524" i="1"/>
  <c r="G4524" i="1"/>
  <c r="E4524" i="1"/>
  <c r="C4524" i="1"/>
  <c r="M4523" i="1"/>
  <c r="I4523" i="1"/>
  <c r="E4520" i="1"/>
  <c r="E4519" i="1"/>
  <c r="E4518" i="1"/>
  <c r="Q4500" i="1"/>
  <c r="O4500" i="1"/>
  <c r="M4500" i="1"/>
  <c r="K4500" i="1"/>
  <c r="I4500" i="1"/>
  <c r="G4500" i="1"/>
  <c r="E4500" i="1"/>
  <c r="C4500" i="1"/>
  <c r="Q4499" i="1"/>
  <c r="Q4498" i="1"/>
  <c r="Q4497" i="1"/>
  <c r="O4494" i="1"/>
  <c r="O4502" i="1" s="1"/>
  <c r="M4494" i="1"/>
  <c r="K4494" i="1"/>
  <c r="I4494" i="1"/>
  <c r="G4494" i="1"/>
  <c r="E4494" i="1"/>
  <c r="C4494" i="1"/>
  <c r="C4502" i="1" s="1"/>
  <c r="Q4493" i="1"/>
  <c r="O4490" i="1"/>
  <c r="M4490" i="1"/>
  <c r="K4490" i="1"/>
  <c r="I4490" i="1"/>
  <c r="G4490" i="1"/>
  <c r="E4490" i="1"/>
  <c r="C4490" i="1"/>
  <c r="Q4489" i="1"/>
  <c r="Q4488" i="1"/>
  <c r="Q4490" i="1" s="1"/>
  <c r="O4486" i="1"/>
  <c r="M4486" i="1"/>
  <c r="I4486" i="1"/>
  <c r="G4486" i="1"/>
  <c r="E4486" i="1"/>
  <c r="C4486" i="1"/>
  <c r="Q4485" i="1"/>
  <c r="Q4484" i="1"/>
  <c r="Q4483" i="1"/>
  <c r="Q4482" i="1"/>
  <c r="Q4481" i="1"/>
  <c r="Q4480" i="1"/>
  <c r="Q4479" i="1"/>
  <c r="Q4478" i="1"/>
  <c r="Q4477" i="1"/>
  <c r="K4477" i="1"/>
  <c r="Q4476" i="1"/>
  <c r="Q4475" i="1"/>
  <c r="K4475" i="1"/>
  <c r="K4486" i="1" s="1"/>
  <c r="K4502" i="1" s="1"/>
  <c r="O4472" i="1"/>
  <c r="M4472" i="1"/>
  <c r="K4472" i="1"/>
  <c r="I4472" i="1"/>
  <c r="I4502" i="1" s="1"/>
  <c r="G4472" i="1"/>
  <c r="G4502" i="1" s="1"/>
  <c r="E4472" i="1"/>
  <c r="C4472" i="1"/>
  <c r="Q4471" i="1"/>
  <c r="Q4470" i="1"/>
  <c r="Q4469" i="1"/>
  <c r="Q4468" i="1"/>
  <c r="Q4467" i="1"/>
  <c r="Q4466" i="1"/>
  <c r="Q4465" i="1"/>
  <c r="Q4464" i="1"/>
  <c r="Q4463" i="1"/>
  <c r="Q4462" i="1"/>
  <c r="Q4459" i="1"/>
  <c r="O4459" i="1"/>
  <c r="M4459" i="1"/>
  <c r="Q4458" i="1"/>
  <c r="O4458" i="1"/>
  <c r="M4458" i="1"/>
  <c r="K4458" i="1"/>
  <c r="G4458" i="1"/>
  <c r="E4458" i="1"/>
  <c r="C4458" i="1"/>
  <c r="M4457" i="1"/>
  <c r="I4457" i="1"/>
  <c r="E4454" i="1"/>
  <c r="E4453" i="1"/>
  <c r="E4452" i="1"/>
  <c r="O4435" i="1"/>
  <c r="C4435" i="1"/>
  <c r="O4433" i="1"/>
  <c r="M4433" i="1"/>
  <c r="K4433" i="1"/>
  <c r="I4433" i="1"/>
  <c r="G4433" i="1"/>
  <c r="E4433" i="1"/>
  <c r="C4433" i="1"/>
  <c r="Q4432" i="1"/>
  <c r="Q4431" i="1"/>
  <c r="Q4430" i="1"/>
  <c r="Q4429" i="1"/>
  <c r="Q4428" i="1"/>
  <c r="Q4427" i="1"/>
  <c r="Q4426" i="1"/>
  <c r="Q4425" i="1"/>
  <c r="Q4424" i="1"/>
  <c r="Q4423" i="1"/>
  <c r="Q4422" i="1"/>
  <c r="Q4433" i="1" s="1"/>
  <c r="Q4421" i="1"/>
  <c r="Q4420" i="1"/>
  <c r="Q4419" i="1"/>
  <c r="Q4418" i="1"/>
  <c r="O4415" i="1"/>
  <c r="M4415" i="1"/>
  <c r="K4415" i="1"/>
  <c r="I4415" i="1"/>
  <c r="G4415" i="1"/>
  <c r="E4415" i="1"/>
  <c r="C4415" i="1"/>
  <c r="Q4414" i="1"/>
  <c r="Q4413" i="1"/>
  <c r="Q4412" i="1"/>
  <c r="Q4411" i="1"/>
  <c r="Q4410" i="1"/>
  <c r="Q4409" i="1"/>
  <c r="Q4408" i="1"/>
  <c r="O4405" i="1"/>
  <c r="M4405" i="1"/>
  <c r="K4405" i="1"/>
  <c r="I4405" i="1"/>
  <c r="I4435" i="1" s="1"/>
  <c r="G4405" i="1"/>
  <c r="G4435" i="1" s="1"/>
  <c r="E4405" i="1"/>
  <c r="E4435" i="1" s="1"/>
  <c r="C4405" i="1"/>
  <c r="Q4404" i="1"/>
  <c r="Q4403" i="1"/>
  <c r="Q4402" i="1"/>
  <c r="Q4401" i="1"/>
  <c r="Q4400" i="1"/>
  <c r="Q4399" i="1"/>
  <c r="Q4398" i="1"/>
  <c r="Q4395" i="1"/>
  <c r="O4395" i="1"/>
  <c r="M4395" i="1"/>
  <c r="Q4394" i="1"/>
  <c r="O4394" i="1"/>
  <c r="M4394" i="1"/>
  <c r="K4394" i="1"/>
  <c r="G4394" i="1"/>
  <c r="E4394" i="1"/>
  <c r="C4394" i="1"/>
  <c r="M4393" i="1"/>
  <c r="I4393" i="1"/>
  <c r="E4390" i="1"/>
  <c r="E4389" i="1"/>
  <c r="E4388" i="1"/>
  <c r="M4378" i="1"/>
  <c r="Q4375" i="1"/>
  <c r="O4375" i="1"/>
  <c r="M4375" i="1"/>
  <c r="K4375" i="1"/>
  <c r="I4375" i="1"/>
  <c r="G4375" i="1"/>
  <c r="E4375" i="1"/>
  <c r="C4375" i="1"/>
  <c r="Q4374" i="1"/>
  <c r="Q4373" i="1"/>
  <c r="O4371" i="1"/>
  <c r="M4371" i="1"/>
  <c r="I4371" i="1"/>
  <c r="G4371" i="1"/>
  <c r="E4371" i="1"/>
  <c r="C4371" i="1"/>
  <c r="Q4370" i="1"/>
  <c r="Q4369" i="1"/>
  <c r="Q4368" i="1"/>
  <c r="Q4367" i="1"/>
  <c r="Q4366" i="1"/>
  <c r="Q4365" i="1"/>
  <c r="Q4364" i="1"/>
  <c r="Q4363" i="1"/>
  <c r="Q4362" i="1"/>
  <c r="Q4361" i="1"/>
  <c r="Q4360" i="1"/>
  <c r="Q4371" i="1" s="1"/>
  <c r="Q4359" i="1"/>
  <c r="Q4358" i="1"/>
  <c r="Q4357" i="1"/>
  <c r="K4357" i="1"/>
  <c r="Q4356" i="1"/>
  <c r="K4356" i="1"/>
  <c r="K4371" i="1" s="1"/>
  <c r="Q4355" i="1"/>
  <c r="O4352" i="1"/>
  <c r="M4352" i="1"/>
  <c r="K4352" i="1"/>
  <c r="I4352" i="1"/>
  <c r="G4352" i="1"/>
  <c r="G4378" i="1" s="1"/>
  <c r="E4352" i="1"/>
  <c r="C4352" i="1"/>
  <c r="C4378" i="1" s="1"/>
  <c r="C4527" i="1" s="1"/>
  <c r="Q4351" i="1"/>
  <c r="Q4350" i="1"/>
  <c r="Q4349" i="1"/>
  <c r="Q4348" i="1"/>
  <c r="Q4347" i="1"/>
  <c r="Q4346" i="1"/>
  <c r="Q4345" i="1"/>
  <c r="Q4344" i="1"/>
  <c r="O4341" i="1"/>
  <c r="O4378" i="1" s="1"/>
  <c r="O4527" i="1" s="1"/>
  <c r="M4341" i="1"/>
  <c r="K4341" i="1"/>
  <c r="I4341" i="1"/>
  <c r="I4378" i="1" s="1"/>
  <c r="G4341" i="1"/>
  <c r="E4341" i="1"/>
  <c r="E4378" i="1" s="1"/>
  <c r="C4341" i="1"/>
  <c r="Q4340" i="1"/>
  <c r="Q4339" i="1"/>
  <c r="Q4338" i="1"/>
  <c r="Q4337" i="1"/>
  <c r="Q4336" i="1"/>
  <c r="Q4335" i="1"/>
  <c r="K4335" i="1"/>
  <c r="Q4334" i="1"/>
  <c r="Q4333" i="1"/>
  <c r="K4333" i="1"/>
  <c r="Q4332" i="1"/>
  <c r="Q4341" i="1" s="1"/>
  <c r="Q4329" i="1"/>
  <c r="O4329" i="1"/>
  <c r="M4329" i="1"/>
  <c r="Q4328" i="1"/>
  <c r="O4328" i="1"/>
  <c r="M4328" i="1"/>
  <c r="K4328" i="1"/>
  <c r="G4328" i="1"/>
  <c r="E4328" i="1"/>
  <c r="C4328" i="1"/>
  <c r="M4327" i="1"/>
  <c r="I4327" i="1"/>
  <c r="E4324" i="1"/>
  <c r="E4323" i="1"/>
  <c r="E4322" i="1"/>
  <c r="M4304" i="1"/>
  <c r="G4304" i="1"/>
  <c r="O4302" i="1"/>
  <c r="M4302" i="1"/>
  <c r="K4302" i="1"/>
  <c r="I4302" i="1"/>
  <c r="G4302" i="1"/>
  <c r="E4302" i="1"/>
  <c r="C4302" i="1"/>
  <c r="Q4301" i="1"/>
  <c r="Q4300" i="1"/>
  <c r="Q4299" i="1"/>
  <c r="Q4298" i="1"/>
  <c r="Q4297" i="1"/>
  <c r="Q4302" i="1" s="1"/>
  <c r="Q4296" i="1"/>
  <c r="Q4295" i="1"/>
  <c r="Q4294" i="1"/>
  <c r="O4291" i="1"/>
  <c r="M4291" i="1"/>
  <c r="I4291" i="1"/>
  <c r="G4291" i="1"/>
  <c r="E4291" i="1"/>
  <c r="C4291" i="1"/>
  <c r="Q4290" i="1"/>
  <c r="K4290" i="1"/>
  <c r="K4291" i="1" s="1"/>
  <c r="Q4289" i="1"/>
  <c r="Q4288" i="1"/>
  <c r="Q4287" i="1"/>
  <c r="Q4286" i="1"/>
  <c r="Q4285" i="1"/>
  <c r="Q4284" i="1"/>
  <c r="Q4283" i="1"/>
  <c r="Q4282" i="1"/>
  <c r="Q4281" i="1"/>
  <c r="Q4280" i="1"/>
  <c r="Q4279" i="1"/>
  <c r="Q4278" i="1"/>
  <c r="Q4277" i="1"/>
  <c r="Q4276" i="1"/>
  <c r="Q4275" i="1"/>
  <c r="Q4274" i="1"/>
  <c r="O4271" i="1"/>
  <c r="O4304" i="1" s="1"/>
  <c r="M4271" i="1"/>
  <c r="K4271" i="1"/>
  <c r="K4304" i="1" s="1"/>
  <c r="I4271" i="1"/>
  <c r="I4304" i="1" s="1"/>
  <c r="G4271" i="1"/>
  <c r="E4271" i="1"/>
  <c r="E4304" i="1" s="1"/>
  <c r="C4271" i="1"/>
  <c r="C4304" i="1" s="1"/>
  <c r="Q4270" i="1"/>
  <c r="Q4271" i="1" s="1"/>
  <c r="Q4262" i="1"/>
  <c r="O4262" i="1"/>
  <c r="M4262" i="1"/>
  <c r="Q4261" i="1"/>
  <c r="O4261" i="1"/>
  <c r="M4261" i="1"/>
  <c r="K4261" i="1"/>
  <c r="G4261" i="1"/>
  <c r="E4261" i="1"/>
  <c r="C4261" i="1"/>
  <c r="M4260" i="1"/>
  <c r="I4260" i="1"/>
  <c r="E4257" i="1"/>
  <c r="E4256" i="1"/>
  <c r="E4255" i="1"/>
  <c r="C4203" i="1"/>
  <c r="Q4199" i="1"/>
  <c r="O4199" i="1"/>
  <c r="M4199" i="1"/>
  <c r="Q4198" i="1"/>
  <c r="O4198" i="1"/>
  <c r="M4198" i="1"/>
  <c r="K4198" i="1"/>
  <c r="G4198" i="1"/>
  <c r="E4198" i="1"/>
  <c r="C4198" i="1"/>
  <c r="M4197" i="1"/>
  <c r="I4197" i="1"/>
  <c r="E4194" i="1"/>
  <c r="E4193" i="1"/>
  <c r="E4192" i="1"/>
  <c r="O4151" i="1"/>
  <c r="M4151" i="1"/>
  <c r="K4151" i="1"/>
  <c r="I4151" i="1"/>
  <c r="G4151" i="1"/>
  <c r="E4151" i="1"/>
  <c r="C4151" i="1"/>
  <c r="Q4150" i="1"/>
  <c r="Q4149" i="1"/>
  <c r="Q4148" i="1"/>
  <c r="Q4147" i="1"/>
  <c r="Q4145" i="1"/>
  <c r="Q4151" i="1" s="1"/>
  <c r="Q4144" i="1"/>
  <c r="O4141" i="1"/>
  <c r="M4141" i="1"/>
  <c r="K4141" i="1"/>
  <c r="I4141" i="1"/>
  <c r="G4141" i="1"/>
  <c r="E4141" i="1"/>
  <c r="C4141" i="1"/>
  <c r="Q4140" i="1"/>
  <c r="Q4141" i="1" s="1"/>
  <c r="Q4139" i="1"/>
  <c r="Q4136" i="1"/>
  <c r="O4136" i="1"/>
  <c r="M4136" i="1"/>
  <c r="Q4135" i="1"/>
  <c r="O4135" i="1"/>
  <c r="M4135" i="1"/>
  <c r="K4135" i="1"/>
  <c r="G4135" i="1"/>
  <c r="E4135" i="1"/>
  <c r="C4135" i="1"/>
  <c r="M4134" i="1"/>
  <c r="I4134" i="1"/>
  <c r="E4131" i="1"/>
  <c r="E4130" i="1"/>
  <c r="E4129" i="1"/>
  <c r="O4128" i="1"/>
  <c r="M4128" i="1"/>
  <c r="K4128" i="1"/>
  <c r="I4128" i="1"/>
  <c r="G4128" i="1"/>
  <c r="E4128" i="1"/>
  <c r="C4128" i="1"/>
  <c r="Q4127" i="1"/>
  <c r="Q4126" i="1"/>
  <c r="Q4128" i="1" s="1"/>
  <c r="Q4125" i="1"/>
  <c r="O4123" i="1"/>
  <c r="M4123" i="1"/>
  <c r="K4123" i="1"/>
  <c r="K4153" i="1" s="1"/>
  <c r="K4201" i="1" s="1"/>
  <c r="I4123" i="1"/>
  <c r="G4123" i="1"/>
  <c r="E4123" i="1"/>
  <c r="C4123" i="1"/>
  <c r="Q4122" i="1"/>
  <c r="Q4121" i="1"/>
  <c r="Q4120" i="1"/>
  <c r="Q4119" i="1"/>
  <c r="Q4118" i="1"/>
  <c r="Q4117" i="1"/>
  <c r="Q4116" i="1"/>
  <c r="Q4115" i="1"/>
  <c r="Q4114" i="1"/>
  <c r="Q4113" i="1"/>
  <c r="K4113" i="1"/>
  <c r="Q4112" i="1"/>
  <c r="K4112" i="1"/>
  <c r="Q4111" i="1"/>
  <c r="Q4110" i="1"/>
  <c r="Q4109" i="1"/>
  <c r="Q4108" i="1"/>
  <c r="Q4107" i="1"/>
  <c r="Q4106" i="1"/>
  <c r="Q4105" i="1"/>
  <c r="Q4104" i="1"/>
  <c r="Q4103" i="1"/>
  <c r="Q4102" i="1"/>
  <c r="O4099" i="1"/>
  <c r="O4153" i="1" s="1"/>
  <c r="M4099" i="1"/>
  <c r="K4099" i="1"/>
  <c r="I4099" i="1"/>
  <c r="I4153" i="1" s="1"/>
  <c r="I4201" i="1" s="1"/>
  <c r="G4099" i="1"/>
  <c r="E4099" i="1"/>
  <c r="C4099" i="1"/>
  <c r="C4153" i="1" s="1"/>
  <c r="C4201" i="1" s="1"/>
  <c r="Q4098" i="1"/>
  <c r="Q4097" i="1"/>
  <c r="Q4096" i="1"/>
  <c r="Q4095" i="1"/>
  <c r="Q4094" i="1"/>
  <c r="Q4093" i="1"/>
  <c r="Q4092" i="1"/>
  <c r="Q4091" i="1"/>
  <c r="Q4090" i="1"/>
  <c r="Q4089" i="1"/>
  <c r="Q4088" i="1"/>
  <c r="Q4087" i="1"/>
  <c r="Q4086" i="1"/>
  <c r="Q4085" i="1"/>
  <c r="Q4084" i="1"/>
  <c r="O4081" i="1"/>
  <c r="M4081" i="1"/>
  <c r="M4153" i="1" s="1"/>
  <c r="M4201" i="1" s="1"/>
  <c r="K4081" i="1"/>
  <c r="I4081" i="1"/>
  <c r="G4081" i="1"/>
  <c r="G4153" i="1" s="1"/>
  <c r="G4201" i="1" s="1"/>
  <c r="E4081" i="1"/>
  <c r="C4081" i="1"/>
  <c r="Q4080" i="1"/>
  <c r="Q4079" i="1"/>
  <c r="Q4078" i="1"/>
  <c r="Q4077" i="1"/>
  <c r="Q4076" i="1"/>
  <c r="K4076" i="1"/>
  <c r="Q4075" i="1"/>
  <c r="Q4074" i="1"/>
  <c r="Q4073" i="1"/>
  <c r="Q4072" i="1"/>
  <c r="K4072" i="1"/>
  <c r="Q4071" i="1"/>
  <c r="Q4081" i="1" s="1"/>
  <c r="Q4068" i="1"/>
  <c r="O4068" i="1"/>
  <c r="M4068" i="1"/>
  <c r="Q4067" i="1"/>
  <c r="O4067" i="1"/>
  <c r="M4067" i="1"/>
  <c r="K4067" i="1"/>
  <c r="G4067" i="1"/>
  <c r="E4067" i="1"/>
  <c r="C4067" i="1"/>
  <c r="M4066" i="1"/>
  <c r="I4066" i="1"/>
  <c r="E4063" i="1"/>
  <c r="E4062" i="1"/>
  <c r="E4061" i="1"/>
  <c r="O4036" i="1"/>
  <c r="M4036" i="1"/>
  <c r="K4036" i="1"/>
  <c r="I4036" i="1"/>
  <c r="G4036" i="1"/>
  <c r="E4036" i="1"/>
  <c r="C4036" i="1"/>
  <c r="Q4035" i="1"/>
  <c r="Q4034" i="1"/>
  <c r="Q4036" i="1" s="1"/>
  <c r="O4031" i="1"/>
  <c r="M4031" i="1"/>
  <c r="K4031" i="1"/>
  <c r="K4038" i="1" s="1"/>
  <c r="I4031" i="1"/>
  <c r="G4031" i="1"/>
  <c r="E4031" i="1"/>
  <c r="C4031" i="1"/>
  <c r="Q4030" i="1"/>
  <c r="Q4029" i="1"/>
  <c r="K4029" i="1"/>
  <c r="Q4028" i="1"/>
  <c r="Q4027" i="1"/>
  <c r="Q4026" i="1"/>
  <c r="Q4025" i="1"/>
  <c r="Q4024" i="1"/>
  <c r="Q4031" i="1" s="1"/>
  <c r="Q4023" i="1"/>
  <c r="O4020" i="1"/>
  <c r="M4020" i="1"/>
  <c r="M4038" i="1" s="1"/>
  <c r="K4020" i="1"/>
  <c r="I4020" i="1"/>
  <c r="I4038" i="1" s="1"/>
  <c r="I4203" i="1" s="1"/>
  <c r="G4020" i="1"/>
  <c r="G4038" i="1" s="1"/>
  <c r="G4203" i="1" s="1"/>
  <c r="E4020" i="1"/>
  <c r="E4038" i="1" s="1"/>
  <c r="C4020" i="1"/>
  <c r="C4038" i="1" s="1"/>
  <c r="Q4019" i="1"/>
  <c r="Q4018" i="1"/>
  <c r="Q4017" i="1"/>
  <c r="Q4016" i="1"/>
  <c r="Q4015" i="1"/>
  <c r="Q4014" i="1"/>
  <c r="Q4020" i="1" s="1"/>
  <c r="Q4038" i="1" s="1"/>
  <c r="Q4013" i="1"/>
  <c r="Q4005" i="1"/>
  <c r="O4005" i="1"/>
  <c r="M4005" i="1"/>
  <c r="Q4004" i="1"/>
  <c r="O4004" i="1"/>
  <c r="M4004" i="1"/>
  <c r="K4004" i="1"/>
  <c r="G4004" i="1"/>
  <c r="E4004" i="1"/>
  <c r="C4004" i="1"/>
  <c r="M4003" i="1"/>
  <c r="I4003" i="1"/>
  <c r="E4000" i="1"/>
  <c r="E3999" i="1"/>
  <c r="E3998" i="1"/>
  <c r="M3972" i="1"/>
  <c r="E3970" i="1"/>
  <c r="Q3967" i="1"/>
  <c r="O3967" i="1"/>
  <c r="M3967" i="1"/>
  <c r="Q3966" i="1"/>
  <c r="O3966" i="1"/>
  <c r="M3966" i="1"/>
  <c r="K3966" i="1"/>
  <c r="G3966" i="1"/>
  <c r="E3966" i="1"/>
  <c r="C3966" i="1"/>
  <c r="M3965" i="1"/>
  <c r="I3965" i="1"/>
  <c r="E3962" i="1"/>
  <c r="E3961" i="1"/>
  <c r="E3960" i="1"/>
  <c r="E3953" i="1"/>
  <c r="O3951" i="1"/>
  <c r="M3951" i="1"/>
  <c r="M3953" i="1" s="1"/>
  <c r="M3970" i="1" s="1"/>
  <c r="K3951" i="1"/>
  <c r="I3951" i="1"/>
  <c r="I3953" i="1" s="1"/>
  <c r="I3970" i="1" s="1"/>
  <c r="G3951" i="1"/>
  <c r="E3951" i="1"/>
  <c r="C3951" i="1"/>
  <c r="Q3950" i="1"/>
  <c r="Q3951" i="1" s="1"/>
  <c r="O3947" i="1"/>
  <c r="M3947" i="1"/>
  <c r="K3947" i="1"/>
  <c r="I3947" i="1"/>
  <c r="G3947" i="1"/>
  <c r="E3947" i="1"/>
  <c r="C3947" i="1"/>
  <c r="Q3946" i="1"/>
  <c r="Q3947" i="1" s="1"/>
  <c r="Q3953" i="1" s="1"/>
  <c r="Q3970" i="1" s="1"/>
  <c r="O3943" i="1"/>
  <c r="M3943" i="1"/>
  <c r="K3943" i="1"/>
  <c r="K3953" i="1" s="1"/>
  <c r="K3970" i="1" s="1"/>
  <c r="I3943" i="1"/>
  <c r="G3943" i="1"/>
  <c r="G3953" i="1" s="1"/>
  <c r="G3970" i="1" s="1"/>
  <c r="E3943" i="1"/>
  <c r="C3943" i="1"/>
  <c r="Q3942" i="1"/>
  <c r="Q3941" i="1"/>
  <c r="Q3940" i="1"/>
  <c r="Q3939" i="1"/>
  <c r="Q3938" i="1"/>
  <c r="K3938" i="1"/>
  <c r="Q3937" i="1"/>
  <c r="Q3936" i="1"/>
  <c r="Q3943" i="1" s="1"/>
  <c r="K3936" i="1"/>
  <c r="Q3933" i="1"/>
  <c r="O3933" i="1"/>
  <c r="M3933" i="1"/>
  <c r="Q3932" i="1"/>
  <c r="O3932" i="1"/>
  <c r="M3932" i="1"/>
  <c r="K3932" i="1"/>
  <c r="G3932" i="1"/>
  <c r="E3932" i="1"/>
  <c r="C3932" i="1"/>
  <c r="M3931" i="1"/>
  <c r="I3931" i="1"/>
  <c r="E3928" i="1"/>
  <c r="E3927" i="1"/>
  <c r="E3926" i="1"/>
  <c r="E3905" i="1"/>
  <c r="O3902" i="1"/>
  <c r="M3902" i="1"/>
  <c r="K3902" i="1"/>
  <c r="I3902" i="1"/>
  <c r="G3902" i="1"/>
  <c r="E3902" i="1"/>
  <c r="C3902" i="1"/>
  <c r="Q3901" i="1"/>
  <c r="Q3902" i="1" s="1"/>
  <c r="Q3905" i="1" s="1"/>
  <c r="Q3972" i="1" s="1"/>
  <c r="Q3898" i="1"/>
  <c r="O3898" i="1"/>
  <c r="O3905" i="1" s="1"/>
  <c r="M3898" i="1"/>
  <c r="M3905" i="1" s="1"/>
  <c r="K3898" i="1"/>
  <c r="K3905" i="1" s="1"/>
  <c r="K3972" i="1" s="1"/>
  <c r="I3898" i="1"/>
  <c r="G3898" i="1"/>
  <c r="G3905" i="1" s="1"/>
  <c r="E3898" i="1"/>
  <c r="C3898" i="1"/>
  <c r="C3905" i="1" s="1"/>
  <c r="Q3897" i="1"/>
  <c r="Q3896" i="1"/>
  <c r="Q3895" i="1"/>
  <c r="Q3894" i="1"/>
  <c r="Q3886" i="1"/>
  <c r="O3886" i="1"/>
  <c r="M3886" i="1"/>
  <c r="Q3885" i="1"/>
  <c r="O3885" i="1"/>
  <c r="M3885" i="1"/>
  <c r="K3885" i="1"/>
  <c r="G3885" i="1"/>
  <c r="E3885" i="1"/>
  <c r="C3885" i="1"/>
  <c r="M3884" i="1"/>
  <c r="I3884" i="1"/>
  <c r="E3881" i="1"/>
  <c r="E3880" i="1"/>
  <c r="E3879" i="1"/>
  <c r="E3852" i="1"/>
  <c r="Q3849" i="1"/>
  <c r="O3849" i="1"/>
  <c r="M3849" i="1"/>
  <c r="Q3848" i="1"/>
  <c r="O3848" i="1"/>
  <c r="M3848" i="1"/>
  <c r="K3848" i="1"/>
  <c r="G3848" i="1"/>
  <c r="E3848" i="1"/>
  <c r="C3848" i="1"/>
  <c r="M3847" i="1"/>
  <c r="I3847" i="1"/>
  <c r="E3844" i="1"/>
  <c r="E3843" i="1"/>
  <c r="E3842" i="1"/>
  <c r="Q3833" i="1"/>
  <c r="O3833" i="1"/>
  <c r="M3833" i="1"/>
  <c r="K3833" i="1"/>
  <c r="K3835" i="1" s="1"/>
  <c r="K3852" i="1" s="1"/>
  <c r="I3833" i="1"/>
  <c r="G3833" i="1"/>
  <c r="E3833" i="1"/>
  <c r="C3833" i="1"/>
  <c r="Q3832" i="1"/>
  <c r="Q3829" i="1"/>
  <c r="O3829" i="1"/>
  <c r="M3829" i="1"/>
  <c r="M3835" i="1" s="1"/>
  <c r="M3852" i="1" s="1"/>
  <c r="K3829" i="1"/>
  <c r="I3829" i="1"/>
  <c r="I3835" i="1" s="1"/>
  <c r="I3852" i="1" s="1"/>
  <c r="G3829" i="1"/>
  <c r="E3829" i="1"/>
  <c r="E3835" i="1" s="1"/>
  <c r="C3829" i="1"/>
  <c r="Q3828" i="1"/>
  <c r="O3824" i="1"/>
  <c r="O3835" i="1" s="1"/>
  <c r="O3852" i="1" s="1"/>
  <c r="M3824" i="1"/>
  <c r="K3824" i="1"/>
  <c r="I3824" i="1"/>
  <c r="G3824" i="1"/>
  <c r="G3835" i="1" s="1"/>
  <c r="G3852" i="1" s="1"/>
  <c r="E3824" i="1"/>
  <c r="C3824" i="1"/>
  <c r="C3835" i="1" s="1"/>
  <c r="C3852" i="1" s="1"/>
  <c r="Q3823" i="1"/>
  <c r="Q3822" i="1"/>
  <c r="Q3821" i="1"/>
  <c r="Q3820" i="1"/>
  <c r="Q3819" i="1"/>
  <c r="Q3818" i="1"/>
  <c r="Q3817" i="1"/>
  <c r="Q3816" i="1"/>
  <c r="Q3815" i="1"/>
  <c r="Q3814" i="1"/>
  <c r="K3814" i="1"/>
  <c r="Q3813" i="1"/>
  <c r="C3813" i="1"/>
  <c r="Q3812" i="1"/>
  <c r="Q3811" i="1"/>
  <c r="Q3807" i="1"/>
  <c r="O3807" i="1"/>
  <c r="M3807" i="1"/>
  <c r="Q3806" i="1"/>
  <c r="O3806" i="1"/>
  <c r="M3806" i="1"/>
  <c r="K3806" i="1"/>
  <c r="G3806" i="1"/>
  <c r="E3806" i="1"/>
  <c r="C3806" i="1"/>
  <c r="M3805" i="1"/>
  <c r="I3805" i="1"/>
  <c r="E3802" i="1"/>
  <c r="E3801" i="1"/>
  <c r="E3800" i="1"/>
  <c r="O3777" i="1"/>
  <c r="O3779" i="1" s="1"/>
  <c r="M3777" i="1"/>
  <c r="I3777" i="1"/>
  <c r="G3777" i="1"/>
  <c r="E3777" i="1"/>
  <c r="C3777" i="1"/>
  <c r="C3779" i="1" s="1"/>
  <c r="Q3776" i="1"/>
  <c r="Q3777" i="1" s="1"/>
  <c r="K3776" i="1"/>
  <c r="K3777" i="1" s="1"/>
  <c r="O3773" i="1"/>
  <c r="M3773" i="1"/>
  <c r="I3773" i="1"/>
  <c r="I3779" i="1" s="1"/>
  <c r="I3854" i="1" s="1"/>
  <c r="G3773" i="1"/>
  <c r="G3779" i="1" s="1"/>
  <c r="E3773" i="1"/>
  <c r="E3779" i="1" s="1"/>
  <c r="C3773" i="1"/>
  <c r="Q3772" i="1"/>
  <c r="Q3771" i="1"/>
  <c r="Q3770" i="1"/>
  <c r="Q3769" i="1"/>
  <c r="Q3768" i="1"/>
  <c r="Q3767" i="1"/>
  <c r="Q3766" i="1"/>
  <c r="K3766" i="1"/>
  <c r="K3773" i="1" s="1"/>
  <c r="K3779" i="1" s="1"/>
  <c r="K3854" i="1" s="1"/>
  <c r="Q3765" i="1"/>
  <c r="Q3764" i="1"/>
  <c r="Q3763" i="1"/>
  <c r="Q3755" i="1"/>
  <c r="O3755" i="1"/>
  <c r="M3755" i="1"/>
  <c r="Q3754" i="1"/>
  <c r="O3754" i="1"/>
  <c r="M3754" i="1"/>
  <c r="K3754" i="1"/>
  <c r="G3754" i="1"/>
  <c r="E3754" i="1"/>
  <c r="C3754" i="1"/>
  <c r="M3753" i="1"/>
  <c r="I3753" i="1"/>
  <c r="E3750" i="1"/>
  <c r="E3749" i="1"/>
  <c r="E3748" i="1"/>
  <c r="Q3714" i="1"/>
  <c r="O3714" i="1"/>
  <c r="M3714" i="1"/>
  <c r="Q3713" i="1"/>
  <c r="O3713" i="1"/>
  <c r="M3713" i="1"/>
  <c r="K3713" i="1"/>
  <c r="G3713" i="1"/>
  <c r="E3713" i="1"/>
  <c r="C3713" i="1"/>
  <c r="M3712" i="1"/>
  <c r="I3712" i="1"/>
  <c r="E3709" i="1"/>
  <c r="E3708" i="1"/>
  <c r="E3707" i="1"/>
  <c r="O3651" i="1"/>
  <c r="M3651" i="1"/>
  <c r="K3651" i="1"/>
  <c r="I3651" i="1"/>
  <c r="G3651" i="1"/>
  <c r="E3651" i="1"/>
  <c r="E3653" i="1" s="1"/>
  <c r="C3651" i="1"/>
  <c r="Q3650" i="1"/>
  <c r="Q3649" i="1"/>
  <c r="Q3648" i="1"/>
  <c r="Q3647" i="1"/>
  <c r="Q3646" i="1"/>
  <c r="Q3651" i="1" s="1"/>
  <c r="Q3645" i="1"/>
  <c r="Q3644" i="1"/>
  <c r="Q3643" i="1"/>
  <c r="Q3642" i="1"/>
  <c r="O3639" i="1"/>
  <c r="M3639" i="1"/>
  <c r="K3639" i="1"/>
  <c r="I3639" i="1"/>
  <c r="G3639" i="1"/>
  <c r="E3639" i="1"/>
  <c r="C3639" i="1"/>
  <c r="Q3638" i="1"/>
  <c r="Q3637" i="1"/>
  <c r="Q3636" i="1"/>
  <c r="Q3639" i="1" s="1"/>
  <c r="O3633" i="1"/>
  <c r="M3633" i="1"/>
  <c r="K3633" i="1"/>
  <c r="I3633" i="1"/>
  <c r="G3633" i="1"/>
  <c r="E3633" i="1"/>
  <c r="C3633" i="1"/>
  <c r="Q3632" i="1"/>
  <c r="Q3631" i="1"/>
  <c r="Q3630" i="1"/>
  <c r="Q3633" i="1" s="1"/>
  <c r="Q3628" i="1"/>
  <c r="O3628" i="1"/>
  <c r="M3628" i="1"/>
  <c r="Q3627" i="1"/>
  <c r="O3627" i="1"/>
  <c r="M3627" i="1"/>
  <c r="K3627" i="1"/>
  <c r="G3627" i="1"/>
  <c r="E3627" i="1"/>
  <c r="C3627" i="1"/>
  <c r="M3626" i="1"/>
  <c r="I3626" i="1"/>
  <c r="E3623" i="1"/>
  <c r="E3622" i="1"/>
  <c r="E3621" i="1"/>
  <c r="O3619" i="1"/>
  <c r="M3619" i="1"/>
  <c r="I3619" i="1"/>
  <c r="G3619" i="1"/>
  <c r="E3619" i="1"/>
  <c r="C3619" i="1"/>
  <c r="Q3618" i="1"/>
  <c r="Q3617" i="1"/>
  <c r="Q3616" i="1"/>
  <c r="Q3615" i="1"/>
  <c r="Q3614" i="1"/>
  <c r="Q3613" i="1"/>
  <c r="Q3612" i="1"/>
  <c r="Q3611" i="1"/>
  <c r="Q3610" i="1"/>
  <c r="Q3609" i="1"/>
  <c r="Q3608" i="1"/>
  <c r="Q3607" i="1"/>
  <c r="Q3606" i="1"/>
  <c r="Q3605" i="1"/>
  <c r="Q3604" i="1"/>
  <c r="Q3603" i="1"/>
  <c r="Q3602" i="1"/>
  <c r="Q3601" i="1"/>
  <c r="Q3600" i="1"/>
  <c r="Q3599" i="1"/>
  <c r="Q3598" i="1"/>
  <c r="K3598" i="1"/>
  <c r="K3619" i="1" s="1"/>
  <c r="Q3597" i="1"/>
  <c r="Q3596" i="1"/>
  <c r="O3593" i="1"/>
  <c r="M3593" i="1"/>
  <c r="I3593" i="1"/>
  <c r="G3593" i="1"/>
  <c r="E3593" i="1"/>
  <c r="C3593" i="1"/>
  <c r="C3653" i="1" s="1"/>
  <c r="Q3592" i="1"/>
  <c r="Q3591" i="1"/>
  <c r="Q3590" i="1"/>
  <c r="Q3589" i="1"/>
  <c r="Q3588" i="1"/>
  <c r="K3588" i="1"/>
  <c r="K3593" i="1" s="1"/>
  <c r="Q3587" i="1"/>
  <c r="Q3586" i="1"/>
  <c r="Q3585" i="1"/>
  <c r="Q3584" i="1"/>
  <c r="K3584" i="1"/>
  <c r="Q3583" i="1"/>
  <c r="Q3582" i="1"/>
  <c r="Q3581" i="1"/>
  <c r="Q3580" i="1"/>
  <c r="Q3579" i="1"/>
  <c r="Q3578" i="1"/>
  <c r="O3575" i="1"/>
  <c r="M3575" i="1"/>
  <c r="M3653" i="1" s="1"/>
  <c r="K3575" i="1"/>
  <c r="I3575" i="1"/>
  <c r="G3575" i="1"/>
  <c r="E3575" i="1"/>
  <c r="C3575" i="1"/>
  <c r="Q3574" i="1"/>
  <c r="Q3573" i="1"/>
  <c r="Q3572" i="1"/>
  <c r="Q3571" i="1"/>
  <c r="Q3570" i="1"/>
  <c r="Q3569" i="1"/>
  <c r="Q3568" i="1"/>
  <c r="Q3567" i="1"/>
  <c r="Q3566" i="1"/>
  <c r="Q3565" i="1"/>
  <c r="Q3562" i="1"/>
  <c r="O3562" i="1"/>
  <c r="M3562" i="1"/>
  <c r="Q3561" i="1"/>
  <c r="O3561" i="1"/>
  <c r="M3561" i="1"/>
  <c r="K3561" i="1"/>
  <c r="G3561" i="1"/>
  <c r="E3561" i="1"/>
  <c r="C3561" i="1"/>
  <c r="M3560" i="1"/>
  <c r="I3560" i="1"/>
  <c r="E3557" i="1"/>
  <c r="E3556" i="1"/>
  <c r="E3555" i="1"/>
  <c r="M3547" i="1"/>
  <c r="G3547" i="1"/>
  <c r="E3547" i="1"/>
  <c r="Q3545" i="1"/>
  <c r="O3545" i="1"/>
  <c r="M3545" i="1"/>
  <c r="K3545" i="1"/>
  <c r="I3545" i="1"/>
  <c r="G3545" i="1"/>
  <c r="E3545" i="1"/>
  <c r="C3545" i="1"/>
  <c r="Q3544" i="1"/>
  <c r="O3541" i="1"/>
  <c r="O3547" i="1" s="1"/>
  <c r="M3541" i="1"/>
  <c r="K3541" i="1"/>
  <c r="K3547" i="1" s="1"/>
  <c r="I3541" i="1"/>
  <c r="I3547" i="1" s="1"/>
  <c r="G3541" i="1"/>
  <c r="E3541" i="1"/>
  <c r="C3541" i="1"/>
  <c r="C3547" i="1" s="1"/>
  <c r="Q3540" i="1"/>
  <c r="Q3536" i="1"/>
  <c r="Q3535" i="1"/>
  <c r="Q3534" i="1"/>
  <c r="Q3533" i="1"/>
  <c r="Q3532" i="1"/>
  <c r="Q3531" i="1"/>
  <c r="Q3528" i="1"/>
  <c r="O3528" i="1"/>
  <c r="M3528" i="1"/>
  <c r="Q3527" i="1"/>
  <c r="O3527" i="1"/>
  <c r="M3527" i="1"/>
  <c r="K3527" i="1"/>
  <c r="G3527" i="1"/>
  <c r="E3527" i="1"/>
  <c r="C3527" i="1"/>
  <c r="M3526" i="1"/>
  <c r="I3526" i="1"/>
  <c r="E3523" i="1"/>
  <c r="E3522" i="1"/>
  <c r="E3521" i="1"/>
  <c r="O3484" i="1"/>
  <c r="M3484" i="1"/>
  <c r="K3484" i="1"/>
  <c r="I3484" i="1"/>
  <c r="G3484" i="1"/>
  <c r="E3484" i="1"/>
  <c r="C3484" i="1"/>
  <c r="Q3483" i="1"/>
  <c r="Q3482" i="1"/>
  <c r="Q3481" i="1"/>
  <c r="K3481" i="1"/>
  <c r="Q3480" i="1"/>
  <c r="Q3484" i="1" s="1"/>
  <c r="Q3479" i="1"/>
  <c r="Q3478" i="1"/>
  <c r="Q3477" i="1"/>
  <c r="Q3476" i="1"/>
  <c r="Q3475" i="1"/>
  <c r="Q3472" i="1"/>
  <c r="O3472" i="1"/>
  <c r="M3472" i="1"/>
  <c r="K3472" i="1"/>
  <c r="I3472" i="1"/>
  <c r="G3472" i="1"/>
  <c r="E3472" i="1"/>
  <c r="C3472" i="1"/>
  <c r="Q3471" i="1"/>
  <c r="Q3470" i="1"/>
  <c r="Q3469" i="1"/>
  <c r="Q3466" i="1"/>
  <c r="O3466" i="1"/>
  <c r="M3466" i="1"/>
  <c r="K3466" i="1"/>
  <c r="I3466" i="1"/>
  <c r="E3466" i="1"/>
  <c r="C3466" i="1"/>
  <c r="Q3465" i="1"/>
  <c r="Q3464" i="1"/>
  <c r="K3464" i="1"/>
  <c r="Q3463" i="1"/>
  <c r="K3463" i="1"/>
  <c r="G3463" i="1"/>
  <c r="G3466" i="1" s="1"/>
  <c r="G3486" i="1" s="1"/>
  <c r="Q3461" i="1"/>
  <c r="O3461" i="1"/>
  <c r="M3461" i="1"/>
  <c r="Q3460" i="1"/>
  <c r="O3460" i="1"/>
  <c r="M3460" i="1"/>
  <c r="K3460" i="1"/>
  <c r="G3460" i="1"/>
  <c r="E3460" i="1"/>
  <c r="C3460" i="1"/>
  <c r="M3459" i="1"/>
  <c r="I3459" i="1"/>
  <c r="E3456" i="1"/>
  <c r="E3455" i="1"/>
  <c r="E3454" i="1"/>
  <c r="O3452" i="1"/>
  <c r="M3452" i="1"/>
  <c r="I3452" i="1"/>
  <c r="G3452" i="1"/>
  <c r="E3452" i="1"/>
  <c r="C3452" i="1"/>
  <c r="C3486" i="1" s="1"/>
  <c r="Q3451" i="1"/>
  <c r="Q3450" i="1"/>
  <c r="Q3449" i="1"/>
  <c r="Q3448" i="1"/>
  <c r="Q3447" i="1"/>
  <c r="Q3446" i="1"/>
  <c r="Q3445" i="1"/>
  <c r="Q3444" i="1"/>
  <c r="Q3443" i="1"/>
  <c r="K3443" i="1"/>
  <c r="Q3442" i="1"/>
  <c r="Q3441" i="1"/>
  <c r="Q3440" i="1"/>
  <c r="K3440" i="1"/>
  <c r="K3452" i="1" s="1"/>
  <c r="Q3439" i="1"/>
  <c r="Q3438" i="1"/>
  <c r="Q3437" i="1"/>
  <c r="Q3436" i="1"/>
  <c r="Q3435" i="1"/>
  <c r="Q3434" i="1"/>
  <c r="K3434" i="1"/>
  <c r="Q3433" i="1"/>
  <c r="Q3432" i="1"/>
  <c r="K3432" i="1"/>
  <c r="Q3431" i="1"/>
  <c r="Q3430" i="1"/>
  <c r="Q3452" i="1" s="1"/>
  <c r="Q3429" i="1"/>
  <c r="O3426" i="1"/>
  <c r="O3486" i="1" s="1"/>
  <c r="M3426" i="1"/>
  <c r="K3426" i="1"/>
  <c r="I3426" i="1"/>
  <c r="G3426" i="1"/>
  <c r="E3426" i="1"/>
  <c r="C3426" i="1"/>
  <c r="Q3425" i="1"/>
  <c r="Q3424" i="1"/>
  <c r="Q3423" i="1"/>
  <c r="Q3422" i="1"/>
  <c r="Q3421" i="1"/>
  <c r="Q3420" i="1"/>
  <c r="Q3419" i="1"/>
  <c r="Q3418" i="1"/>
  <c r="Q3417" i="1"/>
  <c r="Q3416" i="1"/>
  <c r="Q3415" i="1"/>
  <c r="Q3414" i="1"/>
  <c r="Q3413" i="1"/>
  <c r="Q3412" i="1"/>
  <c r="Q3411" i="1"/>
  <c r="Q3410" i="1"/>
  <c r="Q3409" i="1"/>
  <c r="Q3426" i="1" s="1"/>
  <c r="Q3408" i="1"/>
  <c r="O3405" i="1"/>
  <c r="M3405" i="1"/>
  <c r="M3486" i="1" s="1"/>
  <c r="K3405" i="1"/>
  <c r="I3405" i="1"/>
  <c r="I3486" i="1" s="1"/>
  <c r="G3405" i="1"/>
  <c r="E3405" i="1"/>
  <c r="C3405" i="1"/>
  <c r="Q3404" i="1"/>
  <c r="Q3403" i="1"/>
  <c r="Q3402" i="1"/>
  <c r="Q3401" i="1"/>
  <c r="Q3400" i="1"/>
  <c r="K3400" i="1"/>
  <c r="Q3399" i="1"/>
  <c r="Q3398" i="1"/>
  <c r="Q3397" i="1"/>
  <c r="Q3396" i="1"/>
  <c r="Q3405" i="1" s="1"/>
  <c r="Q3395" i="1"/>
  <c r="K3395" i="1"/>
  <c r="Q3392" i="1"/>
  <c r="O3392" i="1"/>
  <c r="M3392" i="1"/>
  <c r="Q3391" i="1"/>
  <c r="O3391" i="1"/>
  <c r="M3391" i="1"/>
  <c r="K3391" i="1"/>
  <c r="G3391" i="1"/>
  <c r="E3391" i="1"/>
  <c r="C3391" i="1"/>
  <c r="M3390" i="1"/>
  <c r="I3390" i="1"/>
  <c r="E3387" i="1"/>
  <c r="E3386" i="1"/>
  <c r="E3385" i="1"/>
  <c r="M3357" i="1"/>
  <c r="K3357" i="1"/>
  <c r="O3355" i="1"/>
  <c r="M3355" i="1"/>
  <c r="K3355" i="1"/>
  <c r="I3355" i="1"/>
  <c r="G3355" i="1"/>
  <c r="E3355" i="1"/>
  <c r="C3355" i="1"/>
  <c r="Q3354" i="1"/>
  <c r="Q3353" i="1"/>
  <c r="Q3352" i="1"/>
  <c r="Q3351" i="1"/>
  <c r="Q3350" i="1"/>
  <c r="Q3349" i="1"/>
  <c r="Q3348" i="1"/>
  <c r="Q3347" i="1"/>
  <c r="O3344" i="1"/>
  <c r="M3344" i="1"/>
  <c r="K3344" i="1"/>
  <c r="I3344" i="1"/>
  <c r="G3344" i="1"/>
  <c r="E3344" i="1"/>
  <c r="C3344" i="1"/>
  <c r="Q3343" i="1"/>
  <c r="Q3342" i="1"/>
  <c r="Q3344" i="1" s="1"/>
  <c r="O3339" i="1"/>
  <c r="M3339" i="1"/>
  <c r="K3339" i="1"/>
  <c r="I3339" i="1"/>
  <c r="G3339" i="1"/>
  <c r="G3357" i="1" s="1"/>
  <c r="E3339" i="1"/>
  <c r="E3357" i="1" s="1"/>
  <c r="C3339" i="1"/>
  <c r="Q3338" i="1"/>
  <c r="Q3337" i="1"/>
  <c r="Q3336" i="1"/>
  <c r="Q3335" i="1"/>
  <c r="Q3334" i="1"/>
  <c r="Q3333" i="1"/>
  <c r="Q3332" i="1"/>
  <c r="Q3339" i="1" s="1"/>
  <c r="Q3331" i="1"/>
  <c r="Q3330" i="1"/>
  <c r="Q3327" i="1"/>
  <c r="O3327" i="1"/>
  <c r="M3327" i="1"/>
  <c r="Q3326" i="1"/>
  <c r="O3326" i="1"/>
  <c r="M3326" i="1"/>
  <c r="K3326" i="1"/>
  <c r="G3326" i="1"/>
  <c r="E3326" i="1"/>
  <c r="C3326" i="1"/>
  <c r="M3325" i="1"/>
  <c r="I3325" i="1"/>
  <c r="E3322" i="1"/>
  <c r="E3321" i="1"/>
  <c r="E3320" i="1"/>
  <c r="E3276" i="1"/>
  <c r="O3274" i="1"/>
  <c r="M3274" i="1"/>
  <c r="K3274" i="1"/>
  <c r="I3274" i="1"/>
  <c r="I3276" i="1" s="1"/>
  <c r="G3274" i="1"/>
  <c r="E3274" i="1"/>
  <c r="C3274" i="1"/>
  <c r="Q3273" i="1"/>
  <c r="Q3274" i="1" s="1"/>
  <c r="O3270" i="1"/>
  <c r="O3276" i="1" s="1"/>
  <c r="M3270" i="1"/>
  <c r="K3270" i="1"/>
  <c r="K3276" i="1" s="1"/>
  <c r="I3270" i="1"/>
  <c r="G3270" i="1"/>
  <c r="G3276" i="1" s="1"/>
  <c r="E3270" i="1"/>
  <c r="C3270" i="1"/>
  <c r="C3276" i="1" s="1"/>
  <c r="Q3269" i="1"/>
  <c r="Q3268" i="1"/>
  <c r="Q3270" i="1" s="1"/>
  <c r="Q3267" i="1"/>
  <c r="Q3266" i="1"/>
  <c r="Q3263" i="1"/>
  <c r="O3263" i="1"/>
  <c r="M3263" i="1"/>
  <c r="Q3262" i="1"/>
  <c r="O3262" i="1"/>
  <c r="M3262" i="1"/>
  <c r="K3262" i="1"/>
  <c r="G3262" i="1"/>
  <c r="E3262" i="1"/>
  <c r="C3262" i="1"/>
  <c r="M3261" i="1"/>
  <c r="I3261" i="1"/>
  <c r="E3258" i="1"/>
  <c r="E3257" i="1"/>
  <c r="E3256" i="1"/>
  <c r="M3214" i="1"/>
  <c r="E3214" i="1"/>
  <c r="O3212" i="1"/>
  <c r="M3212" i="1"/>
  <c r="K3212" i="1"/>
  <c r="I3212" i="1"/>
  <c r="G3212" i="1"/>
  <c r="E3212" i="1"/>
  <c r="C3212" i="1"/>
  <c r="Q3211" i="1"/>
  <c r="Q3210" i="1"/>
  <c r="Q3209" i="1"/>
  <c r="Q3208" i="1"/>
  <c r="Q3207" i="1"/>
  <c r="Q3206" i="1"/>
  <c r="O3203" i="1"/>
  <c r="M3203" i="1"/>
  <c r="K3203" i="1"/>
  <c r="I3203" i="1"/>
  <c r="G3203" i="1"/>
  <c r="E3203" i="1"/>
  <c r="C3203" i="1"/>
  <c r="Q3202" i="1"/>
  <c r="K3202" i="1"/>
  <c r="Q3199" i="1"/>
  <c r="O3199" i="1"/>
  <c r="M3199" i="1"/>
  <c r="Q3198" i="1"/>
  <c r="O3198" i="1"/>
  <c r="M3198" i="1"/>
  <c r="K3198" i="1"/>
  <c r="G3198" i="1"/>
  <c r="E3198" i="1"/>
  <c r="C3198" i="1"/>
  <c r="M3197" i="1"/>
  <c r="I3197" i="1"/>
  <c r="E3194" i="1"/>
  <c r="E3193" i="1"/>
  <c r="E3192" i="1"/>
  <c r="O3190" i="1"/>
  <c r="M3190" i="1"/>
  <c r="K3190" i="1"/>
  <c r="I3190" i="1"/>
  <c r="G3190" i="1"/>
  <c r="E3190" i="1"/>
  <c r="C3190" i="1"/>
  <c r="Q3189" i="1"/>
  <c r="Q3188" i="1"/>
  <c r="Q3190" i="1" s="1"/>
  <c r="Q3186" i="1"/>
  <c r="O3186" i="1"/>
  <c r="M3186" i="1"/>
  <c r="I3186" i="1"/>
  <c r="G3186" i="1"/>
  <c r="E3186" i="1"/>
  <c r="C3186" i="1"/>
  <c r="Q3185" i="1"/>
  <c r="Q3184" i="1"/>
  <c r="Q3183" i="1"/>
  <c r="Q3182" i="1"/>
  <c r="K3182" i="1"/>
  <c r="Q3181" i="1"/>
  <c r="Q3180" i="1"/>
  <c r="K3180" i="1"/>
  <c r="Q3179" i="1"/>
  <c r="Q3178" i="1"/>
  <c r="Q3177" i="1"/>
  <c r="Q3176" i="1"/>
  <c r="K3176" i="1"/>
  <c r="Q3175" i="1"/>
  <c r="K3175" i="1"/>
  <c r="Q3174" i="1"/>
  <c r="Q3173" i="1"/>
  <c r="Q3172" i="1"/>
  <c r="Q3171" i="1"/>
  <c r="Q3170" i="1"/>
  <c r="Q3169" i="1"/>
  <c r="Q3168" i="1"/>
  <c r="K3168" i="1"/>
  <c r="Q3167" i="1"/>
  <c r="K3167" i="1"/>
  <c r="Q3166" i="1"/>
  <c r="O3163" i="1"/>
  <c r="M3163" i="1"/>
  <c r="I3163" i="1"/>
  <c r="G3163" i="1"/>
  <c r="E3163" i="1"/>
  <c r="C3163" i="1"/>
  <c r="Q3162" i="1"/>
  <c r="Q3161" i="1"/>
  <c r="Q3160" i="1"/>
  <c r="Q3159" i="1"/>
  <c r="Q3158" i="1"/>
  <c r="Q3157" i="1"/>
  <c r="Q3156" i="1"/>
  <c r="Q3155" i="1"/>
  <c r="Q3154" i="1"/>
  <c r="Q3153" i="1"/>
  <c r="Q3152" i="1"/>
  <c r="Q3151" i="1"/>
  <c r="Q3163" i="1" s="1"/>
  <c r="Q3150" i="1"/>
  <c r="K3150" i="1"/>
  <c r="K3163" i="1" s="1"/>
  <c r="Q3149" i="1"/>
  <c r="Q3148" i="1"/>
  <c r="O3145" i="1"/>
  <c r="M3145" i="1"/>
  <c r="I3145" i="1"/>
  <c r="G3145" i="1"/>
  <c r="G3214" i="1" s="1"/>
  <c r="E3145" i="1"/>
  <c r="C3145" i="1"/>
  <c r="Q3144" i="1"/>
  <c r="Q3143" i="1"/>
  <c r="Q3142" i="1"/>
  <c r="Q3141" i="1"/>
  <c r="Q3145" i="1" s="1"/>
  <c r="Q3140" i="1"/>
  <c r="Q3139" i="1"/>
  <c r="Q3138" i="1"/>
  <c r="Q3137" i="1"/>
  <c r="Q3136" i="1"/>
  <c r="K3136" i="1"/>
  <c r="K3145" i="1" s="1"/>
  <c r="Q3135" i="1"/>
  <c r="Q3132" i="1"/>
  <c r="O3132" i="1"/>
  <c r="M3132" i="1"/>
  <c r="Q3131" i="1"/>
  <c r="O3131" i="1"/>
  <c r="M3131" i="1"/>
  <c r="K3131" i="1"/>
  <c r="G3131" i="1"/>
  <c r="E3131" i="1"/>
  <c r="C3131" i="1"/>
  <c r="M3130" i="1"/>
  <c r="I3130" i="1"/>
  <c r="E3127" i="1"/>
  <c r="E3126" i="1"/>
  <c r="E3125" i="1"/>
  <c r="O3077" i="1"/>
  <c r="M3077" i="1"/>
  <c r="K3077" i="1"/>
  <c r="I3077" i="1"/>
  <c r="G3077" i="1"/>
  <c r="E3077" i="1"/>
  <c r="C3077" i="1"/>
  <c r="Q3075" i="1"/>
  <c r="Q3074" i="1"/>
  <c r="Q3073" i="1"/>
  <c r="Q3071" i="1"/>
  <c r="Q3070" i="1"/>
  <c r="Q3069" i="1"/>
  <c r="Q3077" i="1" s="1"/>
  <c r="Q3066" i="1"/>
  <c r="O3066" i="1"/>
  <c r="M3066" i="1"/>
  <c r="Q3065" i="1"/>
  <c r="O3065" i="1"/>
  <c r="M3065" i="1"/>
  <c r="K3065" i="1"/>
  <c r="G3065" i="1"/>
  <c r="E3065" i="1"/>
  <c r="C3065" i="1"/>
  <c r="M3064" i="1"/>
  <c r="I3064" i="1"/>
  <c r="E3061" i="1"/>
  <c r="E3060" i="1"/>
  <c r="E3059" i="1"/>
  <c r="O3056" i="1"/>
  <c r="M3056" i="1"/>
  <c r="M3079" i="1" s="1"/>
  <c r="K3056" i="1"/>
  <c r="I3056" i="1"/>
  <c r="G3056" i="1"/>
  <c r="E3056" i="1"/>
  <c r="C3056" i="1"/>
  <c r="Q3055" i="1"/>
  <c r="Q3054" i="1"/>
  <c r="Q3053" i="1"/>
  <c r="Q3052" i="1"/>
  <c r="Q3051" i="1"/>
  <c r="Q3056" i="1" s="1"/>
  <c r="Q3050" i="1"/>
  <c r="O3047" i="1"/>
  <c r="M3047" i="1"/>
  <c r="K3047" i="1"/>
  <c r="I3047" i="1"/>
  <c r="G3047" i="1"/>
  <c r="E3047" i="1"/>
  <c r="C3047" i="1"/>
  <c r="Q3046" i="1"/>
  <c r="Q3045" i="1"/>
  <c r="K3045" i="1"/>
  <c r="Q3044" i="1"/>
  <c r="Q3043" i="1"/>
  <c r="Q3042" i="1"/>
  <c r="Q3041" i="1"/>
  <c r="Q3040" i="1"/>
  <c r="Q3039" i="1"/>
  <c r="Q3038" i="1"/>
  <c r="O3035" i="1"/>
  <c r="M3035" i="1"/>
  <c r="K3035" i="1"/>
  <c r="I3035" i="1"/>
  <c r="G3035" i="1"/>
  <c r="E3035" i="1"/>
  <c r="C3035" i="1"/>
  <c r="Q3034" i="1"/>
  <c r="Q3033" i="1"/>
  <c r="Q3032" i="1"/>
  <c r="Q3031" i="1"/>
  <c r="Q3030" i="1"/>
  <c r="Q3029" i="1"/>
  <c r="Q3026" i="1"/>
  <c r="O3026" i="1"/>
  <c r="M3026" i="1"/>
  <c r="K3026" i="1"/>
  <c r="I3026" i="1"/>
  <c r="G3026" i="1"/>
  <c r="G3079" i="1" s="1"/>
  <c r="E3026" i="1"/>
  <c r="C3026" i="1"/>
  <c r="Q3025" i="1"/>
  <c r="Q3024" i="1"/>
  <c r="O3021" i="1"/>
  <c r="M3021" i="1"/>
  <c r="I3021" i="1"/>
  <c r="G3021" i="1"/>
  <c r="E3021" i="1"/>
  <c r="E3079" i="1" s="1"/>
  <c r="C3021" i="1"/>
  <c r="Q3020" i="1"/>
  <c r="Q3019" i="1"/>
  <c r="K3019" i="1"/>
  <c r="K3021" i="1" s="1"/>
  <c r="Q3018" i="1"/>
  <c r="Q3017" i="1"/>
  <c r="Q3016" i="1"/>
  <c r="O3013" i="1"/>
  <c r="M3013" i="1"/>
  <c r="K3013" i="1"/>
  <c r="I3013" i="1"/>
  <c r="G3013" i="1"/>
  <c r="E3013" i="1"/>
  <c r="C3013" i="1"/>
  <c r="Q3012" i="1"/>
  <c r="Q3011" i="1"/>
  <c r="Q3010" i="1"/>
  <c r="Q3009" i="1"/>
  <c r="Q3001" i="1"/>
  <c r="O3001" i="1"/>
  <c r="M3001" i="1"/>
  <c r="Q3000" i="1"/>
  <c r="O3000" i="1"/>
  <c r="M3000" i="1"/>
  <c r="K3000" i="1"/>
  <c r="G3000" i="1"/>
  <c r="E3000" i="1"/>
  <c r="C3000" i="1"/>
  <c r="M2999" i="1"/>
  <c r="I2999" i="1"/>
  <c r="E2996" i="1"/>
  <c r="E2995" i="1"/>
  <c r="E2994" i="1"/>
  <c r="Q2938" i="1"/>
  <c r="O2938" i="1"/>
  <c r="M2938" i="1"/>
  <c r="Q2937" i="1"/>
  <c r="O2937" i="1"/>
  <c r="M2937" i="1"/>
  <c r="K2937" i="1"/>
  <c r="G2937" i="1"/>
  <c r="E2937" i="1"/>
  <c r="C2937" i="1"/>
  <c r="M2936" i="1"/>
  <c r="I2936" i="1"/>
  <c r="E2933" i="1"/>
  <c r="E2932" i="1"/>
  <c r="E2931" i="1"/>
  <c r="O2886" i="1"/>
  <c r="K2886" i="1"/>
  <c r="Q2884" i="1"/>
  <c r="O2884" i="1"/>
  <c r="M2884" i="1"/>
  <c r="K2884" i="1"/>
  <c r="I2884" i="1"/>
  <c r="G2884" i="1"/>
  <c r="E2884" i="1"/>
  <c r="C2884" i="1"/>
  <c r="Q2883" i="1"/>
  <c r="O2880" i="1"/>
  <c r="M2880" i="1"/>
  <c r="M2886" i="1" s="1"/>
  <c r="K2880" i="1"/>
  <c r="I2880" i="1"/>
  <c r="G2880" i="1"/>
  <c r="G2886" i="1" s="1"/>
  <c r="E2880" i="1"/>
  <c r="C2880" i="1"/>
  <c r="C2886" i="1" s="1"/>
  <c r="Q2879" i="1"/>
  <c r="Q2878" i="1"/>
  <c r="Q2875" i="1"/>
  <c r="O2875" i="1"/>
  <c r="M2875" i="1"/>
  <c r="Q2874" i="1"/>
  <c r="O2874" i="1"/>
  <c r="M2874" i="1"/>
  <c r="K2874" i="1"/>
  <c r="G2874" i="1"/>
  <c r="E2874" i="1"/>
  <c r="C2874" i="1"/>
  <c r="M2873" i="1"/>
  <c r="I2873" i="1"/>
  <c r="E2870" i="1"/>
  <c r="E2869" i="1"/>
  <c r="E2868" i="1"/>
  <c r="O2826" i="1"/>
  <c r="O2824" i="1"/>
  <c r="M2824" i="1"/>
  <c r="K2824" i="1"/>
  <c r="I2824" i="1"/>
  <c r="G2824" i="1"/>
  <c r="E2824" i="1"/>
  <c r="E2826" i="1" s="1"/>
  <c r="C2824" i="1"/>
  <c r="Q2823" i="1"/>
  <c r="Q2822" i="1"/>
  <c r="Q2821" i="1"/>
  <c r="Q2820" i="1"/>
  <c r="Q2819" i="1"/>
  <c r="Q2824" i="1" s="1"/>
  <c r="Q2818" i="1"/>
  <c r="Q2817" i="1"/>
  <c r="Q2814" i="1"/>
  <c r="O2814" i="1"/>
  <c r="M2814" i="1"/>
  <c r="K2814" i="1"/>
  <c r="I2814" i="1"/>
  <c r="G2814" i="1"/>
  <c r="E2814" i="1"/>
  <c r="C2814" i="1"/>
  <c r="Q2813" i="1"/>
  <c r="Q2810" i="1"/>
  <c r="O2810" i="1"/>
  <c r="M2810" i="1"/>
  <c r="Q2809" i="1"/>
  <c r="O2809" i="1"/>
  <c r="M2809" i="1"/>
  <c r="K2809" i="1"/>
  <c r="G2809" i="1"/>
  <c r="E2809" i="1"/>
  <c r="C2809" i="1"/>
  <c r="M2808" i="1"/>
  <c r="I2808" i="1"/>
  <c r="E2805" i="1"/>
  <c r="E2804" i="1"/>
  <c r="E2803" i="1"/>
  <c r="Q2801" i="1"/>
  <c r="O2801" i="1"/>
  <c r="M2801" i="1"/>
  <c r="K2801" i="1"/>
  <c r="I2801" i="1"/>
  <c r="G2801" i="1"/>
  <c r="E2801" i="1"/>
  <c r="C2801" i="1"/>
  <c r="Q2799" i="1"/>
  <c r="O2797" i="1"/>
  <c r="M2797" i="1"/>
  <c r="K2797" i="1"/>
  <c r="I2797" i="1"/>
  <c r="G2797" i="1"/>
  <c r="E2797" i="1"/>
  <c r="C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Q2780" i="1"/>
  <c r="Q2779" i="1"/>
  <c r="Q2778" i="1"/>
  <c r="Q2777" i="1"/>
  <c r="O2774" i="1"/>
  <c r="M2774" i="1"/>
  <c r="M2826" i="1" s="1"/>
  <c r="K2774" i="1"/>
  <c r="I2774" i="1"/>
  <c r="I2826" i="1" s="1"/>
  <c r="G2774" i="1"/>
  <c r="E2774" i="1"/>
  <c r="C2774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74" i="1" s="1"/>
  <c r="O2758" i="1"/>
  <c r="M2758" i="1"/>
  <c r="K2758" i="1"/>
  <c r="K2826" i="1" s="1"/>
  <c r="I2758" i="1"/>
  <c r="G2758" i="1"/>
  <c r="G2826" i="1" s="1"/>
  <c r="E2758" i="1"/>
  <c r="C2758" i="1"/>
  <c r="C2826" i="1" s="1"/>
  <c r="Q2757" i="1"/>
  <c r="Q2756" i="1"/>
  <c r="Q2755" i="1"/>
  <c r="Q2754" i="1"/>
  <c r="Q2753" i="1"/>
  <c r="Q2752" i="1"/>
  <c r="Q2751" i="1"/>
  <c r="Q2750" i="1"/>
  <c r="Q2749" i="1"/>
  <c r="Q2746" i="1"/>
  <c r="O2746" i="1"/>
  <c r="M2746" i="1"/>
  <c r="Q2745" i="1"/>
  <c r="O2745" i="1"/>
  <c r="M2745" i="1"/>
  <c r="K2745" i="1"/>
  <c r="G2745" i="1"/>
  <c r="E2745" i="1"/>
  <c r="C2745" i="1"/>
  <c r="M2744" i="1"/>
  <c r="I2744" i="1"/>
  <c r="E2741" i="1"/>
  <c r="E2740" i="1"/>
  <c r="E2739" i="1"/>
  <c r="C2699" i="1"/>
  <c r="O2697" i="1"/>
  <c r="M2697" i="1"/>
  <c r="K2697" i="1"/>
  <c r="I2697" i="1"/>
  <c r="G2697" i="1"/>
  <c r="E2697" i="1"/>
  <c r="C2697" i="1"/>
  <c r="Q2696" i="1"/>
  <c r="Q2695" i="1"/>
  <c r="Q2694" i="1"/>
  <c r="Q2693" i="1"/>
  <c r="Q2692" i="1"/>
  <c r="Q2691" i="1"/>
  <c r="O2688" i="1"/>
  <c r="M2688" i="1"/>
  <c r="K2688" i="1"/>
  <c r="I2688" i="1"/>
  <c r="G2688" i="1"/>
  <c r="E2688" i="1"/>
  <c r="C2688" i="1"/>
  <c r="Q2687" i="1"/>
  <c r="Q2686" i="1"/>
  <c r="Q2688" i="1" s="1"/>
  <c r="Q2683" i="1"/>
  <c r="O2683" i="1"/>
  <c r="M2683" i="1"/>
  <c r="Q2682" i="1"/>
  <c r="O2682" i="1"/>
  <c r="M2682" i="1"/>
  <c r="K2682" i="1"/>
  <c r="G2682" i="1"/>
  <c r="E2682" i="1"/>
  <c r="C2682" i="1"/>
  <c r="M2681" i="1"/>
  <c r="I2681" i="1"/>
  <c r="E2678" i="1"/>
  <c r="E2677" i="1"/>
  <c r="E2676" i="1"/>
  <c r="O2675" i="1"/>
  <c r="M2675" i="1"/>
  <c r="M2699" i="1" s="1"/>
  <c r="K2675" i="1"/>
  <c r="I2675" i="1"/>
  <c r="G2675" i="1"/>
  <c r="E2675" i="1"/>
  <c r="C2675" i="1"/>
  <c r="Q2674" i="1"/>
  <c r="Q2675" i="1" s="1"/>
  <c r="Q2673" i="1"/>
  <c r="Q2672" i="1"/>
  <c r="O2670" i="1"/>
  <c r="M2670" i="1"/>
  <c r="K2670" i="1"/>
  <c r="I2670" i="1"/>
  <c r="G2670" i="1"/>
  <c r="E2670" i="1"/>
  <c r="C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O2646" i="1"/>
  <c r="M2646" i="1"/>
  <c r="K2646" i="1"/>
  <c r="I2646" i="1"/>
  <c r="G2646" i="1"/>
  <c r="E2646" i="1"/>
  <c r="C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46" i="1" s="1"/>
  <c r="Q2630" i="1"/>
  <c r="O2627" i="1"/>
  <c r="M2627" i="1"/>
  <c r="K2627" i="1"/>
  <c r="I2627" i="1"/>
  <c r="G2627" i="1"/>
  <c r="E2627" i="1"/>
  <c r="E2699" i="1" s="1"/>
  <c r="C2627" i="1"/>
  <c r="Q2626" i="1"/>
  <c r="Q2625" i="1"/>
  <c r="Q2624" i="1"/>
  <c r="Q2623" i="1"/>
  <c r="Q2622" i="1"/>
  <c r="Q2621" i="1"/>
  <c r="Q2620" i="1"/>
  <c r="Q2619" i="1"/>
  <c r="Q2618" i="1"/>
  <c r="Q2617" i="1"/>
  <c r="Q2614" i="1"/>
  <c r="O2614" i="1"/>
  <c r="M2614" i="1"/>
  <c r="Q2613" i="1"/>
  <c r="O2613" i="1"/>
  <c r="M2613" i="1"/>
  <c r="K2613" i="1"/>
  <c r="G2613" i="1"/>
  <c r="E2613" i="1"/>
  <c r="C2613" i="1"/>
  <c r="M2612" i="1"/>
  <c r="I2612" i="1"/>
  <c r="E2609" i="1"/>
  <c r="E2608" i="1"/>
  <c r="E2607" i="1"/>
  <c r="Q2561" i="1"/>
  <c r="O2561" i="1"/>
  <c r="M2561" i="1"/>
  <c r="K2561" i="1"/>
  <c r="I2561" i="1"/>
  <c r="G2561" i="1"/>
  <c r="E2561" i="1"/>
  <c r="C2561" i="1"/>
  <c r="Q2560" i="1"/>
  <c r="O2557" i="1"/>
  <c r="O2563" i="1" s="1"/>
  <c r="M2557" i="1"/>
  <c r="M2563" i="1" s="1"/>
  <c r="M2940" i="1" s="1"/>
  <c r="K2557" i="1"/>
  <c r="K2563" i="1" s="1"/>
  <c r="I2557" i="1"/>
  <c r="I2563" i="1" s="1"/>
  <c r="G2557" i="1"/>
  <c r="G2563" i="1" s="1"/>
  <c r="E2557" i="1"/>
  <c r="E2563" i="1" s="1"/>
  <c r="C2557" i="1"/>
  <c r="C2563" i="1" s="1"/>
  <c r="Q2556" i="1"/>
  <c r="Q2555" i="1"/>
  <c r="Q2557" i="1" s="1"/>
  <c r="Q2563" i="1" s="1"/>
  <c r="Q2554" i="1"/>
  <c r="Q2551" i="1"/>
  <c r="O2551" i="1"/>
  <c r="M2551" i="1"/>
  <c r="Q2550" i="1"/>
  <c r="O2550" i="1"/>
  <c r="M2550" i="1"/>
  <c r="K2550" i="1"/>
  <c r="G2550" i="1"/>
  <c r="E2550" i="1"/>
  <c r="C2550" i="1"/>
  <c r="M2549" i="1"/>
  <c r="I2549" i="1"/>
  <c r="E2546" i="1"/>
  <c r="E2545" i="1"/>
  <c r="E2544" i="1"/>
  <c r="O2541" i="1"/>
  <c r="O2543" i="1" s="1"/>
  <c r="C2541" i="1"/>
  <c r="O2539" i="1"/>
  <c r="M2539" i="1"/>
  <c r="K2539" i="1"/>
  <c r="I2539" i="1"/>
  <c r="G2539" i="1"/>
  <c r="G2541" i="1" s="1"/>
  <c r="E2539" i="1"/>
  <c r="C2539" i="1"/>
  <c r="Q2538" i="1"/>
  <c r="Q2536" i="1"/>
  <c r="Q2535" i="1"/>
  <c r="Q2533" i="1"/>
  <c r="Q2532" i="1"/>
  <c r="Q2531" i="1"/>
  <c r="Q2539" i="1" s="1"/>
  <c r="O2528" i="1"/>
  <c r="M2528" i="1"/>
  <c r="K2528" i="1"/>
  <c r="I2528" i="1"/>
  <c r="G2528" i="1"/>
  <c r="E2528" i="1"/>
  <c r="C2528" i="1"/>
  <c r="Q2527" i="1"/>
  <c r="Q2526" i="1"/>
  <c r="Q2528" i="1" s="1"/>
  <c r="O2523" i="1"/>
  <c r="M2523" i="1"/>
  <c r="K2523" i="1"/>
  <c r="I2523" i="1"/>
  <c r="I2541" i="1" s="1"/>
  <c r="G2523" i="1"/>
  <c r="E2523" i="1"/>
  <c r="C2523" i="1"/>
  <c r="Q2522" i="1"/>
  <c r="Q2521" i="1"/>
  <c r="Q2520" i="1"/>
  <c r="Q2523" i="1" s="1"/>
  <c r="Q2519" i="1"/>
  <c r="O2516" i="1"/>
  <c r="M2516" i="1"/>
  <c r="K2516" i="1"/>
  <c r="I2516" i="1"/>
  <c r="G2516" i="1"/>
  <c r="E2516" i="1"/>
  <c r="C2516" i="1"/>
  <c r="Q2515" i="1"/>
  <c r="Q2514" i="1"/>
  <c r="Q2516" i="1" s="1"/>
  <c r="Q2513" i="1"/>
  <c r="Q2512" i="1"/>
  <c r="O2509" i="1"/>
  <c r="M2509" i="1"/>
  <c r="I2509" i="1"/>
  <c r="G2509" i="1"/>
  <c r="E2509" i="1"/>
  <c r="C2509" i="1"/>
  <c r="Q2508" i="1"/>
  <c r="Q2507" i="1"/>
  <c r="K2507" i="1"/>
  <c r="K2509" i="1" s="1"/>
  <c r="Q2506" i="1"/>
  <c r="Q2505" i="1"/>
  <c r="Q2504" i="1"/>
  <c r="Q2503" i="1"/>
  <c r="Q2502" i="1"/>
  <c r="O2497" i="1"/>
  <c r="M2497" i="1"/>
  <c r="K2497" i="1"/>
  <c r="I2497" i="1"/>
  <c r="G2497" i="1"/>
  <c r="E2497" i="1"/>
  <c r="C2497" i="1"/>
  <c r="Q2496" i="1"/>
  <c r="Q2495" i="1"/>
  <c r="Q2494" i="1"/>
  <c r="Q2493" i="1"/>
  <c r="Q2492" i="1"/>
  <c r="Q2491" i="1"/>
  <c r="Q2490" i="1"/>
  <c r="Q2482" i="1"/>
  <c r="O2482" i="1"/>
  <c r="M2482" i="1"/>
  <c r="Q2481" i="1"/>
  <c r="O2481" i="1"/>
  <c r="M2481" i="1"/>
  <c r="K2481" i="1"/>
  <c r="G2481" i="1"/>
  <c r="E2481" i="1"/>
  <c r="C2481" i="1"/>
  <c r="M2480" i="1"/>
  <c r="I2480" i="1"/>
  <c r="E2477" i="1"/>
  <c r="E2476" i="1"/>
  <c r="E2475" i="1"/>
  <c r="O2425" i="1"/>
  <c r="C2425" i="1"/>
  <c r="Q2422" i="1"/>
  <c r="O2422" i="1"/>
  <c r="M2422" i="1"/>
  <c r="Q2421" i="1"/>
  <c r="O2421" i="1"/>
  <c r="M2421" i="1"/>
  <c r="K2421" i="1"/>
  <c r="G2421" i="1"/>
  <c r="E2421" i="1"/>
  <c r="C2421" i="1"/>
  <c r="M2420" i="1"/>
  <c r="I2420" i="1"/>
  <c r="E2417" i="1"/>
  <c r="E2416" i="1"/>
  <c r="E2415" i="1"/>
  <c r="O2408" i="1"/>
  <c r="M2408" i="1"/>
  <c r="M2425" i="1" s="1"/>
  <c r="G2408" i="1"/>
  <c r="G2425" i="1" s="1"/>
  <c r="C2408" i="1"/>
  <c r="Q2406" i="1"/>
  <c r="O2406" i="1"/>
  <c r="M2406" i="1"/>
  <c r="K2406" i="1"/>
  <c r="I2406" i="1"/>
  <c r="G2406" i="1"/>
  <c r="E2406" i="1"/>
  <c r="C2406" i="1"/>
  <c r="Q2405" i="1"/>
  <c r="O2401" i="1"/>
  <c r="M2401" i="1"/>
  <c r="K2401" i="1"/>
  <c r="K2408" i="1" s="1"/>
  <c r="K2425" i="1" s="1"/>
  <c r="I2401" i="1"/>
  <c r="I2408" i="1" s="1"/>
  <c r="I2425" i="1" s="1"/>
  <c r="I2427" i="1" s="1"/>
  <c r="G2401" i="1"/>
  <c r="E2401" i="1"/>
  <c r="E2408" i="1" s="1"/>
  <c r="E2425" i="1" s="1"/>
  <c r="C2401" i="1"/>
  <c r="Q2400" i="1"/>
  <c r="Q2399" i="1"/>
  <c r="Q2398" i="1"/>
  <c r="Q2397" i="1"/>
  <c r="Q2396" i="1"/>
  <c r="Q2395" i="1"/>
  <c r="Q2394" i="1"/>
  <c r="Q2391" i="1"/>
  <c r="O2391" i="1"/>
  <c r="M2391" i="1"/>
  <c r="Q2390" i="1"/>
  <c r="O2390" i="1"/>
  <c r="M2390" i="1"/>
  <c r="K2390" i="1"/>
  <c r="G2390" i="1"/>
  <c r="E2390" i="1"/>
  <c r="C2390" i="1"/>
  <c r="M2389" i="1"/>
  <c r="I2389" i="1"/>
  <c r="E2386" i="1"/>
  <c r="E2385" i="1"/>
  <c r="E2384" i="1"/>
  <c r="C2363" i="1"/>
  <c r="Q2360" i="1"/>
  <c r="O2360" i="1"/>
  <c r="O2363" i="1" s="1"/>
  <c r="O2427" i="1" s="1"/>
  <c r="M2360" i="1"/>
  <c r="K2360" i="1"/>
  <c r="K2363" i="1" s="1"/>
  <c r="I2360" i="1"/>
  <c r="G2360" i="1"/>
  <c r="E2360" i="1"/>
  <c r="C2360" i="1"/>
  <c r="Q2359" i="1"/>
  <c r="O2356" i="1"/>
  <c r="M2356" i="1"/>
  <c r="M2363" i="1" s="1"/>
  <c r="K2356" i="1"/>
  <c r="I2356" i="1"/>
  <c r="I2363" i="1" s="1"/>
  <c r="G2356" i="1"/>
  <c r="G2363" i="1" s="1"/>
  <c r="G2427" i="1" s="1"/>
  <c r="E2356" i="1"/>
  <c r="E2363" i="1" s="1"/>
  <c r="E2427" i="1" s="1"/>
  <c r="C2356" i="1"/>
  <c r="Q2355" i="1"/>
  <c r="Q2354" i="1"/>
  <c r="Q2353" i="1"/>
  <c r="Q2345" i="1"/>
  <c r="O2345" i="1"/>
  <c r="M2345" i="1"/>
  <c r="Q2344" i="1"/>
  <c r="O2344" i="1"/>
  <c r="M2344" i="1"/>
  <c r="K2344" i="1"/>
  <c r="G2344" i="1"/>
  <c r="E2344" i="1"/>
  <c r="C2344" i="1"/>
  <c r="M2343" i="1"/>
  <c r="I2343" i="1"/>
  <c r="E2340" i="1"/>
  <c r="E2339" i="1"/>
  <c r="E2338" i="1"/>
  <c r="Q2317" i="1"/>
  <c r="O2317" i="1"/>
  <c r="M2317" i="1"/>
  <c r="Q2316" i="1"/>
  <c r="O2316" i="1"/>
  <c r="M2316" i="1"/>
  <c r="K2316" i="1"/>
  <c r="G2316" i="1"/>
  <c r="E2316" i="1"/>
  <c r="C2316" i="1"/>
  <c r="M2315" i="1"/>
  <c r="I2315" i="1"/>
  <c r="E2312" i="1"/>
  <c r="E2311" i="1"/>
  <c r="E2310" i="1"/>
  <c r="O2304" i="1"/>
  <c r="O2302" i="1"/>
  <c r="M2302" i="1"/>
  <c r="K2302" i="1"/>
  <c r="I2302" i="1"/>
  <c r="G2302" i="1"/>
  <c r="E2302" i="1"/>
  <c r="C2302" i="1"/>
  <c r="Q2301" i="1"/>
  <c r="Q2300" i="1"/>
  <c r="Q2302" i="1" s="1"/>
  <c r="O2298" i="1"/>
  <c r="M2298" i="1"/>
  <c r="K2298" i="1"/>
  <c r="I2298" i="1"/>
  <c r="G2298" i="1"/>
  <c r="G2304" i="1" s="1"/>
  <c r="E2298" i="1"/>
  <c r="C2298" i="1"/>
  <c r="C2304" i="1" s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98" i="1" s="1"/>
  <c r="O2278" i="1"/>
  <c r="M2278" i="1"/>
  <c r="K2278" i="1"/>
  <c r="I2278" i="1"/>
  <c r="G2278" i="1"/>
  <c r="E2278" i="1"/>
  <c r="C2278" i="1"/>
  <c r="Q2277" i="1"/>
  <c r="Q2276" i="1"/>
  <c r="Q2275" i="1"/>
  <c r="Q2274" i="1"/>
  <c r="Q2273" i="1"/>
  <c r="Q2272" i="1"/>
  <c r="Q2271" i="1"/>
  <c r="Q2270" i="1"/>
  <c r="Q2278" i="1" s="1"/>
  <c r="K2270" i="1"/>
  <c r="Q2269" i="1"/>
  <c r="O2266" i="1"/>
  <c r="I2266" i="1"/>
  <c r="I2304" i="1" s="1"/>
  <c r="G2266" i="1"/>
  <c r="E2266" i="1"/>
  <c r="E2304" i="1" s="1"/>
  <c r="C2266" i="1"/>
  <c r="Q2265" i="1"/>
  <c r="K2265" i="1"/>
  <c r="Q2264" i="1"/>
  <c r="M2263" i="1"/>
  <c r="Q2262" i="1"/>
  <c r="K2262" i="1"/>
  <c r="Q2261" i="1"/>
  <c r="K2261" i="1"/>
  <c r="Q2260" i="1"/>
  <c r="Q2259" i="1"/>
  <c r="Q2258" i="1"/>
  <c r="K2258" i="1"/>
  <c r="Q2255" i="1"/>
  <c r="O2255" i="1"/>
  <c r="M2255" i="1"/>
  <c r="Q2254" i="1"/>
  <c r="O2254" i="1"/>
  <c r="M2254" i="1"/>
  <c r="K2254" i="1"/>
  <c r="G2254" i="1"/>
  <c r="E2254" i="1"/>
  <c r="C2254" i="1"/>
  <c r="M2253" i="1"/>
  <c r="I2253" i="1"/>
  <c r="E2250" i="1"/>
  <c r="E2249" i="1"/>
  <c r="E2248" i="1"/>
  <c r="C2231" i="1"/>
  <c r="O2228" i="1"/>
  <c r="M2228" i="1"/>
  <c r="K2228" i="1"/>
  <c r="I2228" i="1"/>
  <c r="G2228" i="1"/>
  <c r="E2228" i="1"/>
  <c r="C2228" i="1"/>
  <c r="Q2227" i="1"/>
  <c r="Q2226" i="1"/>
  <c r="Q2228" i="1" s="1"/>
  <c r="O2223" i="1"/>
  <c r="C2223" i="1"/>
  <c r="Q2222" i="1"/>
  <c r="Q2221" i="1"/>
  <c r="Q2220" i="1"/>
  <c r="Q2219" i="1"/>
  <c r="M2219" i="1"/>
  <c r="K2219" i="1"/>
  <c r="I2219" i="1"/>
  <c r="Q2218" i="1"/>
  <c r="Q2217" i="1"/>
  <c r="Q2216" i="1"/>
  <c r="M2216" i="1"/>
  <c r="K2216" i="1"/>
  <c r="I2216" i="1"/>
  <c r="E2216" i="1"/>
  <c r="Q2215" i="1"/>
  <c r="M2215" i="1"/>
  <c r="M2223" i="1" s="1"/>
  <c r="K2215" i="1"/>
  <c r="I2215" i="1"/>
  <c r="I2223" i="1" s="1"/>
  <c r="G2215" i="1"/>
  <c r="E2215" i="1"/>
  <c r="E2223" i="1" s="1"/>
  <c r="C2215" i="1"/>
  <c r="Q2214" i="1"/>
  <c r="M2214" i="1"/>
  <c r="K2214" i="1"/>
  <c r="K2223" i="1" s="1"/>
  <c r="I2214" i="1"/>
  <c r="G2214" i="1"/>
  <c r="G2223" i="1" s="1"/>
  <c r="Q2213" i="1"/>
  <c r="G2213" i="1"/>
  <c r="O2210" i="1"/>
  <c r="K2210" i="1"/>
  <c r="C2210" i="1"/>
  <c r="Q2209" i="1"/>
  <c r="K2209" i="1"/>
  <c r="Q2208" i="1"/>
  <c r="E2208" i="1"/>
  <c r="M2207" i="1"/>
  <c r="Q2207" i="1" s="1"/>
  <c r="K2207" i="1"/>
  <c r="I2207" i="1"/>
  <c r="G2207" i="1"/>
  <c r="E2207" i="1"/>
  <c r="C2207" i="1"/>
  <c r="Q2206" i="1"/>
  <c r="Q2205" i="1"/>
  <c r="Q2204" i="1"/>
  <c r="M2203" i="1"/>
  <c r="M2210" i="1" s="1"/>
  <c r="K2203" i="1"/>
  <c r="I2203" i="1"/>
  <c r="I2210" i="1" s="1"/>
  <c r="G2203" i="1"/>
  <c r="G2210" i="1" s="1"/>
  <c r="G2231" i="1" s="1"/>
  <c r="E2203" i="1"/>
  <c r="C2203" i="1"/>
  <c r="O2200" i="1"/>
  <c r="O2231" i="1" s="1"/>
  <c r="M2200" i="1"/>
  <c r="Q2199" i="1"/>
  <c r="K2199" i="1"/>
  <c r="I2199" i="1"/>
  <c r="G2199" i="1"/>
  <c r="E2199" i="1"/>
  <c r="C2199" i="1"/>
  <c r="Q2198" i="1"/>
  <c r="K2198" i="1"/>
  <c r="I2198" i="1"/>
  <c r="G2198" i="1"/>
  <c r="E2198" i="1"/>
  <c r="C2198" i="1"/>
  <c r="Q2197" i="1"/>
  <c r="K2197" i="1"/>
  <c r="I2197" i="1"/>
  <c r="G2197" i="1"/>
  <c r="E2197" i="1"/>
  <c r="C2197" i="1"/>
  <c r="Q2196" i="1"/>
  <c r="K2196" i="1"/>
  <c r="I2196" i="1"/>
  <c r="G2196" i="1"/>
  <c r="E2196" i="1"/>
  <c r="C2196" i="1"/>
  <c r="Q2195" i="1"/>
  <c r="K2195" i="1"/>
  <c r="I2195" i="1"/>
  <c r="G2195" i="1"/>
  <c r="E2195" i="1"/>
  <c r="C2195" i="1"/>
  <c r="Q2194" i="1"/>
  <c r="K2194" i="1"/>
  <c r="I2194" i="1"/>
  <c r="G2194" i="1"/>
  <c r="E2194" i="1"/>
  <c r="E2200" i="1" s="1"/>
  <c r="C2194" i="1"/>
  <c r="C2200" i="1" s="1"/>
  <c r="Q2193" i="1"/>
  <c r="Q2200" i="1" s="1"/>
  <c r="K2193" i="1"/>
  <c r="I2193" i="1"/>
  <c r="Q2192" i="1"/>
  <c r="K2192" i="1"/>
  <c r="K2200" i="1" s="1"/>
  <c r="I2192" i="1"/>
  <c r="I2200" i="1" s="1"/>
  <c r="G2192" i="1"/>
  <c r="G2200" i="1" s="1"/>
  <c r="E2192" i="1"/>
  <c r="C2192" i="1"/>
  <c r="Q2189" i="1"/>
  <c r="O2189" i="1"/>
  <c r="M2189" i="1"/>
  <c r="Q2188" i="1"/>
  <c r="O2188" i="1"/>
  <c r="M2188" i="1"/>
  <c r="K2188" i="1"/>
  <c r="G2188" i="1"/>
  <c r="E2188" i="1"/>
  <c r="C2188" i="1"/>
  <c r="M2187" i="1"/>
  <c r="I2187" i="1"/>
  <c r="E2184" i="1"/>
  <c r="E2183" i="1"/>
  <c r="E2182" i="1"/>
  <c r="O2154" i="1"/>
  <c r="C2154" i="1"/>
  <c r="O2152" i="1"/>
  <c r="M2152" i="1"/>
  <c r="K2152" i="1"/>
  <c r="I2152" i="1"/>
  <c r="G2152" i="1"/>
  <c r="G2154" i="1" s="1"/>
  <c r="E2152" i="1"/>
  <c r="C2152" i="1"/>
  <c r="Q2151" i="1"/>
  <c r="Q2150" i="1"/>
  <c r="Q2149" i="1"/>
  <c r="Q2148" i="1"/>
  <c r="Q2147" i="1"/>
  <c r="O2144" i="1"/>
  <c r="M2144" i="1"/>
  <c r="K2144" i="1"/>
  <c r="K2154" i="1" s="1"/>
  <c r="I2144" i="1"/>
  <c r="G2144" i="1"/>
  <c r="E2144" i="1"/>
  <c r="C2144" i="1"/>
  <c r="Q2143" i="1"/>
  <c r="Q2142" i="1"/>
  <c r="Q2144" i="1" s="1"/>
  <c r="Q2141" i="1"/>
  <c r="Q2140" i="1"/>
  <c r="O2137" i="1"/>
  <c r="M2137" i="1"/>
  <c r="M2154" i="1" s="1"/>
  <c r="K2137" i="1"/>
  <c r="I2137" i="1"/>
  <c r="I2154" i="1" s="1"/>
  <c r="G2137" i="1"/>
  <c r="E2137" i="1"/>
  <c r="E2154" i="1" s="1"/>
  <c r="C2137" i="1"/>
  <c r="Q2136" i="1"/>
  <c r="Q2135" i="1"/>
  <c r="Q2134" i="1"/>
  <c r="Q2133" i="1"/>
  <c r="Q2132" i="1"/>
  <c r="Q2131" i="1"/>
  <c r="Q2130" i="1"/>
  <c r="Q2129" i="1"/>
  <c r="Q2126" i="1"/>
  <c r="O2126" i="1"/>
  <c r="M2126" i="1"/>
  <c r="Q2125" i="1"/>
  <c r="O2125" i="1"/>
  <c r="M2125" i="1"/>
  <c r="K2125" i="1"/>
  <c r="G2125" i="1"/>
  <c r="E2125" i="1"/>
  <c r="C2125" i="1"/>
  <c r="M2124" i="1"/>
  <c r="I2124" i="1"/>
  <c r="E2121" i="1"/>
  <c r="E2120" i="1"/>
  <c r="E2119" i="1"/>
  <c r="E2087" i="1"/>
  <c r="O2085" i="1"/>
  <c r="M2085" i="1"/>
  <c r="K2085" i="1"/>
  <c r="I2085" i="1"/>
  <c r="G2085" i="1"/>
  <c r="E2085" i="1"/>
  <c r="C2085" i="1"/>
  <c r="Q2084" i="1"/>
  <c r="Q2083" i="1"/>
  <c r="Q2085" i="1" s="1"/>
  <c r="O2081" i="1"/>
  <c r="M2081" i="1"/>
  <c r="K2081" i="1"/>
  <c r="I2081" i="1"/>
  <c r="I2087" i="1" s="1"/>
  <c r="G2081" i="1"/>
  <c r="E2081" i="1"/>
  <c r="C2081" i="1"/>
  <c r="Q2080" i="1"/>
  <c r="Q2079" i="1"/>
  <c r="Q2078" i="1"/>
  <c r="Q2077" i="1"/>
  <c r="Q2076" i="1"/>
  <c r="O2073" i="1"/>
  <c r="M2073" i="1"/>
  <c r="M2087" i="1" s="1"/>
  <c r="K2073" i="1"/>
  <c r="I2073" i="1"/>
  <c r="G2073" i="1"/>
  <c r="G2087" i="1" s="1"/>
  <c r="E2073" i="1"/>
  <c r="C2073" i="1"/>
  <c r="Q2072" i="1"/>
  <c r="Q2071" i="1"/>
  <c r="Q2070" i="1"/>
  <c r="Q2069" i="1"/>
  <c r="Q2068" i="1"/>
  <c r="Q2067" i="1"/>
  <c r="Q2066" i="1"/>
  <c r="Q2063" i="1"/>
  <c r="O2063" i="1"/>
  <c r="M2063" i="1"/>
  <c r="Q2062" i="1"/>
  <c r="O2062" i="1"/>
  <c r="M2062" i="1"/>
  <c r="K2062" i="1"/>
  <c r="G2062" i="1"/>
  <c r="E2062" i="1"/>
  <c r="C2062" i="1"/>
  <c r="M2061" i="1"/>
  <c r="I2061" i="1"/>
  <c r="E2058" i="1"/>
  <c r="E2057" i="1"/>
  <c r="E2056" i="1"/>
  <c r="M2015" i="1"/>
  <c r="O2012" i="1"/>
  <c r="M2012" i="1"/>
  <c r="K2012" i="1"/>
  <c r="I2012" i="1"/>
  <c r="G2012" i="1"/>
  <c r="E2012" i="1"/>
  <c r="C2012" i="1"/>
  <c r="Q2011" i="1"/>
  <c r="Q2012" i="1" s="1"/>
  <c r="O2008" i="1"/>
  <c r="M2008" i="1"/>
  <c r="K2008" i="1"/>
  <c r="I2008" i="1"/>
  <c r="G2008" i="1"/>
  <c r="E2008" i="1"/>
  <c r="C2008" i="1"/>
  <c r="Q2007" i="1"/>
  <c r="Q2008" i="1" s="1"/>
  <c r="Q2004" i="1"/>
  <c r="O2004" i="1"/>
  <c r="M2004" i="1"/>
  <c r="K2004" i="1"/>
  <c r="I2004" i="1"/>
  <c r="G2004" i="1"/>
  <c r="E2004" i="1"/>
  <c r="C2004" i="1"/>
  <c r="Q2003" i="1"/>
  <c r="Q2002" i="1"/>
  <c r="Q2000" i="1"/>
  <c r="O2000" i="1"/>
  <c r="M2000" i="1"/>
  <c r="Q1999" i="1"/>
  <c r="O1999" i="1"/>
  <c r="M1999" i="1"/>
  <c r="K1999" i="1"/>
  <c r="G1999" i="1"/>
  <c r="E1999" i="1"/>
  <c r="C1999" i="1"/>
  <c r="M1998" i="1"/>
  <c r="I1998" i="1"/>
  <c r="E1995" i="1"/>
  <c r="E1994" i="1"/>
  <c r="E1993" i="1"/>
  <c r="O1992" i="1"/>
  <c r="M1992" i="1"/>
  <c r="I1992" i="1"/>
  <c r="G1992" i="1"/>
  <c r="E1992" i="1"/>
  <c r="C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K1977" i="1"/>
  <c r="Q1976" i="1"/>
  <c r="K1976" i="1"/>
  <c r="K1992" i="1" s="1"/>
  <c r="Q1975" i="1"/>
  <c r="Q1974" i="1"/>
  <c r="Q1973" i="1"/>
  <c r="Q1972" i="1"/>
  <c r="K1972" i="1"/>
  <c r="Q1971" i="1"/>
  <c r="Q1970" i="1"/>
  <c r="Q1969" i="1"/>
  <c r="Q1968" i="1"/>
  <c r="O1965" i="1"/>
  <c r="M1965" i="1"/>
  <c r="K1965" i="1"/>
  <c r="I1965" i="1"/>
  <c r="I2015" i="1" s="1"/>
  <c r="G1965" i="1"/>
  <c r="E1965" i="1"/>
  <c r="C1965" i="1"/>
  <c r="C2015" i="1" s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O1947" i="1"/>
  <c r="M1947" i="1"/>
  <c r="K1947" i="1"/>
  <c r="I1947" i="1"/>
  <c r="G1947" i="1"/>
  <c r="E1947" i="1"/>
  <c r="E2015" i="1" s="1"/>
  <c r="C1947" i="1"/>
  <c r="Q1946" i="1"/>
  <c r="Q1945" i="1"/>
  <c r="Q1944" i="1"/>
  <c r="Q1943" i="1"/>
  <c r="Q1942" i="1"/>
  <c r="Q1947" i="1" s="1"/>
  <c r="K1942" i="1"/>
  <c r="Q1941" i="1"/>
  <c r="Q1940" i="1"/>
  <c r="Q1939" i="1"/>
  <c r="Q1938" i="1"/>
  <c r="Q1935" i="1"/>
  <c r="O1935" i="1"/>
  <c r="M1935" i="1"/>
  <c r="Q1934" i="1"/>
  <c r="O1934" i="1"/>
  <c r="M1934" i="1"/>
  <c r="K1934" i="1"/>
  <c r="G1934" i="1"/>
  <c r="E1934" i="1"/>
  <c r="C1934" i="1"/>
  <c r="M1933" i="1"/>
  <c r="I1933" i="1"/>
  <c r="E1930" i="1"/>
  <c r="E1929" i="1"/>
  <c r="E1928" i="1"/>
  <c r="O1876" i="1"/>
  <c r="M1876" i="1"/>
  <c r="K1876" i="1"/>
  <c r="I1876" i="1"/>
  <c r="G1876" i="1"/>
  <c r="E1876" i="1"/>
  <c r="C1876" i="1"/>
  <c r="Q1875" i="1"/>
  <c r="Q1876" i="1" s="1"/>
  <c r="Q1874" i="1"/>
  <c r="Q1872" i="1"/>
  <c r="O1872" i="1"/>
  <c r="M1872" i="1"/>
  <c r="Q1871" i="1"/>
  <c r="O1871" i="1"/>
  <c r="M1871" i="1"/>
  <c r="K1871" i="1"/>
  <c r="G1871" i="1"/>
  <c r="E1871" i="1"/>
  <c r="C1871" i="1"/>
  <c r="M1870" i="1"/>
  <c r="I1870" i="1"/>
  <c r="E1867" i="1"/>
  <c r="E1866" i="1"/>
  <c r="E1865" i="1"/>
  <c r="O1860" i="1"/>
  <c r="M1860" i="1"/>
  <c r="K1860" i="1"/>
  <c r="I1860" i="1"/>
  <c r="G1860" i="1"/>
  <c r="E1860" i="1"/>
  <c r="C1860" i="1"/>
  <c r="Q1859" i="1"/>
  <c r="M1859" i="1"/>
  <c r="Q1858" i="1"/>
  <c r="M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O1838" i="1"/>
  <c r="O1878" i="1" s="1"/>
  <c r="M1838" i="1"/>
  <c r="K1838" i="1"/>
  <c r="I1838" i="1"/>
  <c r="G1838" i="1"/>
  <c r="G1878" i="1" s="1"/>
  <c r="E1838" i="1"/>
  <c r="C1838" i="1"/>
  <c r="C1878" i="1" s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O1822" i="1"/>
  <c r="M1822" i="1"/>
  <c r="K1822" i="1"/>
  <c r="K1878" i="1" s="1"/>
  <c r="I1822" i="1"/>
  <c r="G1822" i="1"/>
  <c r="E1822" i="1"/>
  <c r="E1878" i="1" s="1"/>
  <c r="C1822" i="1"/>
  <c r="Q1821" i="1"/>
  <c r="Q1820" i="1"/>
  <c r="Q1819" i="1"/>
  <c r="Q1818" i="1"/>
  <c r="Q1817" i="1"/>
  <c r="Q1816" i="1"/>
  <c r="Q1815" i="1"/>
  <c r="Q1814" i="1"/>
  <c r="Q1822" i="1" s="1"/>
  <c r="Q1813" i="1"/>
  <c r="Q1812" i="1"/>
  <c r="Q1809" i="1"/>
  <c r="O1809" i="1"/>
  <c r="M1809" i="1"/>
  <c r="Q1808" i="1"/>
  <c r="O1808" i="1"/>
  <c r="M1808" i="1"/>
  <c r="K1808" i="1"/>
  <c r="G1808" i="1"/>
  <c r="E1808" i="1"/>
  <c r="C1808" i="1"/>
  <c r="M1807" i="1"/>
  <c r="I1807" i="1"/>
  <c r="E1804" i="1"/>
  <c r="E1803" i="1"/>
  <c r="E1802" i="1"/>
  <c r="O1791" i="1"/>
  <c r="M1791" i="1"/>
  <c r="K1791" i="1"/>
  <c r="I1791" i="1"/>
  <c r="G1791" i="1"/>
  <c r="E1791" i="1"/>
  <c r="C1791" i="1"/>
  <c r="Q1789" i="1"/>
  <c r="Q1791" i="1" s="1"/>
  <c r="O1787" i="1"/>
  <c r="M1787" i="1"/>
  <c r="K1787" i="1"/>
  <c r="I1787" i="1"/>
  <c r="G1787" i="1"/>
  <c r="E1787" i="1"/>
  <c r="C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87" i="1" s="1"/>
  <c r="Q1773" i="1"/>
  <c r="Q1772" i="1"/>
  <c r="O1769" i="1"/>
  <c r="M1769" i="1"/>
  <c r="K1769" i="1"/>
  <c r="I1769" i="1"/>
  <c r="G1769" i="1"/>
  <c r="E1769" i="1"/>
  <c r="C1769" i="1"/>
  <c r="C1793" i="1" s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O1754" i="1"/>
  <c r="O1793" i="1" s="1"/>
  <c r="M1754" i="1"/>
  <c r="I1754" i="1"/>
  <c r="I1793" i="1" s="1"/>
  <c r="G1754" i="1"/>
  <c r="G1793" i="1" s="1"/>
  <c r="E1754" i="1"/>
  <c r="C1754" i="1"/>
  <c r="Q1753" i="1"/>
  <c r="Q1752" i="1"/>
  <c r="Q1751" i="1"/>
  <c r="Q1750" i="1"/>
  <c r="Q1749" i="1"/>
  <c r="K1749" i="1"/>
  <c r="K1754" i="1" s="1"/>
  <c r="K1793" i="1" s="1"/>
  <c r="Q1748" i="1"/>
  <c r="Q1747" i="1"/>
  <c r="Q1746" i="1"/>
  <c r="Q1745" i="1"/>
  <c r="Q1742" i="1"/>
  <c r="O1742" i="1"/>
  <c r="M1742" i="1"/>
  <c r="Q1741" i="1"/>
  <c r="O1741" i="1"/>
  <c r="M1741" i="1"/>
  <c r="K1741" i="1"/>
  <c r="G1741" i="1"/>
  <c r="E1741" i="1"/>
  <c r="C1741" i="1"/>
  <c r="M1740" i="1"/>
  <c r="I1740" i="1"/>
  <c r="E1737" i="1"/>
  <c r="E1736" i="1"/>
  <c r="E1735" i="1"/>
  <c r="E1720" i="1"/>
  <c r="O1718" i="1"/>
  <c r="M1718" i="1"/>
  <c r="K1718" i="1"/>
  <c r="I1718" i="1"/>
  <c r="G1718" i="1"/>
  <c r="E1718" i="1"/>
  <c r="C1718" i="1"/>
  <c r="Q1717" i="1"/>
  <c r="Q1718" i="1" s="1"/>
  <c r="Q1716" i="1"/>
  <c r="O1714" i="1"/>
  <c r="M1714" i="1"/>
  <c r="K1714" i="1"/>
  <c r="I1714" i="1"/>
  <c r="G1714" i="1"/>
  <c r="E1714" i="1"/>
  <c r="C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O1697" i="1"/>
  <c r="M1697" i="1"/>
  <c r="K1697" i="1"/>
  <c r="I1697" i="1"/>
  <c r="G1697" i="1"/>
  <c r="E1697" i="1"/>
  <c r="C1697" i="1"/>
  <c r="Q1696" i="1"/>
  <c r="Q1695" i="1"/>
  <c r="Q1694" i="1"/>
  <c r="Q1693" i="1"/>
  <c r="Q1692" i="1"/>
  <c r="Q1697" i="1" s="1"/>
  <c r="Q1691" i="1"/>
  <c r="O1688" i="1"/>
  <c r="O1720" i="1" s="1"/>
  <c r="M1688" i="1"/>
  <c r="M1720" i="1" s="1"/>
  <c r="K1688" i="1"/>
  <c r="K1720" i="1" s="1"/>
  <c r="I1688" i="1"/>
  <c r="G1688" i="1"/>
  <c r="G1720" i="1" s="1"/>
  <c r="E1688" i="1"/>
  <c r="C1688" i="1"/>
  <c r="C1720" i="1" s="1"/>
  <c r="Q1687" i="1"/>
  <c r="Q1686" i="1"/>
  <c r="Q1685" i="1"/>
  <c r="Q1684" i="1"/>
  <c r="Q1683" i="1"/>
  <c r="Q1688" i="1" s="1"/>
  <c r="K1683" i="1"/>
  <c r="Q1682" i="1"/>
  <c r="Q1681" i="1"/>
  <c r="Q1678" i="1"/>
  <c r="O1678" i="1"/>
  <c r="M1678" i="1"/>
  <c r="Q1677" i="1"/>
  <c r="O1677" i="1"/>
  <c r="M1677" i="1"/>
  <c r="K1677" i="1"/>
  <c r="G1677" i="1"/>
  <c r="E1677" i="1"/>
  <c r="C1677" i="1"/>
  <c r="M1676" i="1"/>
  <c r="I1676" i="1"/>
  <c r="E1673" i="1"/>
  <c r="E1672" i="1"/>
  <c r="E1671" i="1"/>
  <c r="O1625" i="1"/>
  <c r="K1625" i="1"/>
  <c r="G1625" i="1"/>
  <c r="C1625" i="1"/>
  <c r="O1623" i="1"/>
  <c r="M1623" i="1"/>
  <c r="M1625" i="1" s="1"/>
  <c r="K1623" i="1"/>
  <c r="I1623" i="1"/>
  <c r="I1625" i="1" s="1"/>
  <c r="G1623" i="1"/>
  <c r="E1623" i="1"/>
  <c r="E1625" i="1" s="1"/>
  <c r="C1623" i="1"/>
  <c r="Q1622" i="1"/>
  <c r="Q1621" i="1"/>
  <c r="Q1620" i="1"/>
  <c r="Q1619" i="1"/>
  <c r="Q1618" i="1"/>
  <c r="Q1617" i="1"/>
  <c r="Q1614" i="1"/>
  <c r="O1614" i="1"/>
  <c r="M1614" i="1"/>
  <c r="Q1613" i="1"/>
  <c r="O1613" i="1"/>
  <c r="M1613" i="1"/>
  <c r="K1613" i="1"/>
  <c r="G1613" i="1"/>
  <c r="E1613" i="1"/>
  <c r="C1613" i="1"/>
  <c r="M1612" i="1"/>
  <c r="I1612" i="1"/>
  <c r="E1609" i="1"/>
  <c r="E1608" i="1"/>
  <c r="E1607" i="1"/>
  <c r="M1606" i="1"/>
  <c r="Q1604" i="1"/>
  <c r="O1604" i="1"/>
  <c r="M1604" i="1"/>
  <c r="K1604" i="1"/>
  <c r="I1604" i="1"/>
  <c r="G1604" i="1"/>
  <c r="E1604" i="1"/>
  <c r="C1604" i="1"/>
  <c r="Q1603" i="1"/>
  <c r="Q1602" i="1"/>
  <c r="Q1600" i="1"/>
  <c r="O1600" i="1"/>
  <c r="M1600" i="1"/>
  <c r="I1600" i="1"/>
  <c r="G1600" i="1"/>
  <c r="E1600" i="1"/>
  <c r="C1600" i="1"/>
  <c r="Q1599" i="1"/>
  <c r="Q1598" i="1"/>
  <c r="Q1597" i="1"/>
  <c r="Q1596" i="1"/>
  <c r="Q1595" i="1"/>
  <c r="Q1594" i="1"/>
  <c r="Q1593" i="1"/>
  <c r="Q1592" i="1"/>
  <c r="K1592" i="1"/>
  <c r="Q1591" i="1"/>
  <c r="Q1590" i="1"/>
  <c r="Q1589" i="1"/>
  <c r="Q1588" i="1"/>
  <c r="Q1587" i="1"/>
  <c r="Q1586" i="1"/>
  <c r="Q1585" i="1"/>
  <c r="Q1584" i="1"/>
  <c r="Q1583" i="1"/>
  <c r="Q1582" i="1"/>
  <c r="K1582" i="1"/>
  <c r="K1600" i="1" s="1"/>
  <c r="Q1581" i="1"/>
  <c r="O1578" i="1"/>
  <c r="M1578" i="1"/>
  <c r="I1578" i="1"/>
  <c r="G1578" i="1"/>
  <c r="G1606" i="1" s="1"/>
  <c r="E1578" i="1"/>
  <c r="C1578" i="1"/>
  <c r="Q1577" i="1"/>
  <c r="Q1576" i="1"/>
  <c r="K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K1564" i="1"/>
  <c r="K1578" i="1" s="1"/>
  <c r="O1561" i="1"/>
  <c r="O1606" i="1" s="1"/>
  <c r="M1561" i="1"/>
  <c r="K1561" i="1"/>
  <c r="I1561" i="1"/>
  <c r="I1606" i="1" s="1"/>
  <c r="G1561" i="1"/>
  <c r="E1561" i="1"/>
  <c r="E1606" i="1" s="1"/>
  <c r="C1561" i="1"/>
  <c r="C1606" i="1" s="1"/>
  <c r="Q1560" i="1"/>
  <c r="Q1559" i="1"/>
  <c r="Q1558" i="1"/>
  <c r="Q1557" i="1"/>
  <c r="Q1556" i="1"/>
  <c r="Q1555" i="1"/>
  <c r="Q1554" i="1"/>
  <c r="Q1553" i="1"/>
  <c r="Q1561" i="1" s="1"/>
  <c r="Q1552" i="1"/>
  <c r="Q1549" i="1"/>
  <c r="O1549" i="1"/>
  <c r="M1549" i="1"/>
  <c r="Q1548" i="1"/>
  <c r="O1548" i="1"/>
  <c r="M1548" i="1"/>
  <c r="K1548" i="1"/>
  <c r="G1548" i="1"/>
  <c r="E1548" i="1"/>
  <c r="C1548" i="1"/>
  <c r="M1547" i="1"/>
  <c r="I1547" i="1"/>
  <c r="E1544" i="1"/>
  <c r="E1543" i="1"/>
  <c r="E1542" i="1"/>
  <c r="O1509" i="1"/>
  <c r="O1511" i="1" s="1"/>
  <c r="M1509" i="1"/>
  <c r="K1509" i="1"/>
  <c r="I1509" i="1"/>
  <c r="I1511" i="1" s="1"/>
  <c r="G1509" i="1"/>
  <c r="E1509" i="1"/>
  <c r="C1509" i="1"/>
  <c r="C1511" i="1" s="1"/>
  <c r="Q1507" i="1"/>
  <c r="Q1509" i="1" s="1"/>
  <c r="O1505" i="1"/>
  <c r="M1505" i="1"/>
  <c r="K1505" i="1"/>
  <c r="I1505" i="1"/>
  <c r="G1505" i="1"/>
  <c r="E1505" i="1"/>
  <c r="C1505" i="1"/>
  <c r="Q1504" i="1"/>
  <c r="Q1503" i="1"/>
  <c r="Q1502" i="1"/>
  <c r="Q1501" i="1"/>
  <c r="Q1500" i="1"/>
  <c r="K1500" i="1"/>
  <c r="Q1499" i="1"/>
  <c r="Q1498" i="1"/>
  <c r="Q1505" i="1" s="1"/>
  <c r="O1495" i="1"/>
  <c r="M1495" i="1"/>
  <c r="M1511" i="1" s="1"/>
  <c r="K1495" i="1"/>
  <c r="K1511" i="1" s="1"/>
  <c r="I1495" i="1"/>
  <c r="G1495" i="1"/>
  <c r="E1495" i="1"/>
  <c r="C1495" i="1"/>
  <c r="Q1494" i="1"/>
  <c r="Q1493" i="1"/>
  <c r="Q1492" i="1"/>
  <c r="Q1491" i="1"/>
  <c r="K1491" i="1"/>
  <c r="Q1490" i="1"/>
  <c r="Q1489" i="1"/>
  <c r="Q1495" i="1" s="1"/>
  <c r="Q1511" i="1" s="1"/>
  <c r="O1486" i="1"/>
  <c r="M1486" i="1"/>
  <c r="K1486" i="1"/>
  <c r="I1486" i="1"/>
  <c r="G1486" i="1"/>
  <c r="E1486" i="1"/>
  <c r="E1511" i="1" s="1"/>
  <c r="C1486" i="1"/>
  <c r="Q1485" i="1"/>
  <c r="Q1484" i="1"/>
  <c r="Q1483" i="1"/>
  <c r="Q1482" i="1"/>
  <c r="Q1481" i="1"/>
  <c r="Q1486" i="1" s="1"/>
  <c r="Q1480" i="1"/>
  <c r="Q1479" i="1"/>
  <c r="Q1478" i="1"/>
  <c r="Q1477" i="1"/>
  <c r="Q1476" i="1"/>
  <c r="Q1473" i="1"/>
  <c r="O1473" i="1"/>
  <c r="M1473" i="1"/>
  <c r="Q1472" i="1"/>
  <c r="O1472" i="1"/>
  <c r="M1472" i="1"/>
  <c r="K1472" i="1"/>
  <c r="G1472" i="1"/>
  <c r="E1472" i="1"/>
  <c r="C1472" i="1"/>
  <c r="M1471" i="1"/>
  <c r="I1471" i="1"/>
  <c r="E1468" i="1"/>
  <c r="E1467" i="1"/>
  <c r="E1466" i="1"/>
  <c r="M1464" i="1"/>
  <c r="M1463" i="1"/>
  <c r="K1463" i="1"/>
  <c r="I1463" i="1"/>
  <c r="G1463" i="1"/>
  <c r="E1463" i="1"/>
  <c r="C1463" i="1"/>
  <c r="O1462" i="1"/>
  <c r="O1463" i="1" s="1"/>
  <c r="Q1461" i="1"/>
  <c r="O1459" i="1"/>
  <c r="M1459" i="1"/>
  <c r="K1459" i="1"/>
  <c r="I1459" i="1"/>
  <c r="G1459" i="1"/>
  <c r="E1459" i="1"/>
  <c r="C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O1435" i="1"/>
  <c r="M1435" i="1"/>
  <c r="K1435" i="1"/>
  <c r="I1435" i="1"/>
  <c r="G1435" i="1"/>
  <c r="G1464" i="1" s="1"/>
  <c r="E1435" i="1"/>
  <c r="C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O1419" i="1"/>
  <c r="O1464" i="1" s="1"/>
  <c r="M1419" i="1"/>
  <c r="K1419" i="1"/>
  <c r="K1464" i="1" s="1"/>
  <c r="I1419" i="1"/>
  <c r="I1464" i="1" s="1"/>
  <c r="G1419" i="1"/>
  <c r="E1419" i="1"/>
  <c r="E1464" i="1" s="1"/>
  <c r="C1419" i="1"/>
  <c r="C1464" i="1" s="1"/>
  <c r="Q1418" i="1"/>
  <c r="Q1417" i="1"/>
  <c r="Q1416" i="1"/>
  <c r="Q1415" i="1"/>
  <c r="Q1414" i="1"/>
  <c r="K1414" i="1"/>
  <c r="Q1413" i="1"/>
  <c r="Q1412" i="1"/>
  <c r="Q1411" i="1"/>
  <c r="Q1410" i="1"/>
  <c r="Q1409" i="1"/>
  <c r="Q1406" i="1"/>
  <c r="O1406" i="1"/>
  <c r="M1406" i="1"/>
  <c r="Q1405" i="1"/>
  <c r="O1405" i="1"/>
  <c r="M1405" i="1"/>
  <c r="K1405" i="1"/>
  <c r="G1405" i="1"/>
  <c r="E1405" i="1"/>
  <c r="C1405" i="1"/>
  <c r="M1404" i="1"/>
  <c r="I1404" i="1"/>
  <c r="E1401" i="1"/>
  <c r="E1400" i="1"/>
  <c r="E1399" i="1"/>
  <c r="O1372" i="1"/>
  <c r="C1372" i="1"/>
  <c r="O1370" i="1"/>
  <c r="M1370" i="1"/>
  <c r="K1370" i="1"/>
  <c r="I1370" i="1"/>
  <c r="G1370" i="1"/>
  <c r="E1370" i="1"/>
  <c r="C1370" i="1"/>
  <c r="Q1369" i="1"/>
  <c r="Q1368" i="1"/>
  <c r="Q1367" i="1"/>
  <c r="Q1366" i="1"/>
  <c r="Q1365" i="1"/>
  <c r="Q1364" i="1"/>
  <c r="O1361" i="1"/>
  <c r="M1361" i="1"/>
  <c r="M1372" i="1" s="1"/>
  <c r="K1361" i="1"/>
  <c r="I1361" i="1"/>
  <c r="G1361" i="1"/>
  <c r="G1372" i="1" s="1"/>
  <c r="E1361" i="1"/>
  <c r="C1361" i="1"/>
  <c r="Q1360" i="1"/>
  <c r="Q1359" i="1"/>
  <c r="Q1358" i="1"/>
  <c r="Q1357" i="1"/>
  <c r="O1354" i="1"/>
  <c r="M1354" i="1"/>
  <c r="K1354" i="1"/>
  <c r="K1372" i="1" s="1"/>
  <c r="I1354" i="1"/>
  <c r="I1372" i="1" s="1"/>
  <c r="G1354" i="1"/>
  <c r="E1354" i="1"/>
  <c r="E1372" i="1" s="1"/>
  <c r="C1354" i="1"/>
  <c r="Q1353" i="1"/>
  <c r="Q1352" i="1"/>
  <c r="Q1351" i="1"/>
  <c r="Q1350" i="1"/>
  <c r="Q1349" i="1"/>
  <c r="Q1354" i="1" s="1"/>
  <c r="Q1348" i="1"/>
  <c r="Q1347" i="1"/>
  <c r="Q1346" i="1"/>
  <c r="Q1343" i="1"/>
  <c r="O1343" i="1"/>
  <c r="M1343" i="1"/>
  <c r="Q1342" i="1"/>
  <c r="O1342" i="1"/>
  <c r="M1342" i="1"/>
  <c r="K1342" i="1"/>
  <c r="G1342" i="1"/>
  <c r="E1342" i="1"/>
  <c r="C1342" i="1"/>
  <c r="M1341" i="1"/>
  <c r="I1341" i="1"/>
  <c r="E1338" i="1"/>
  <c r="E1337" i="1"/>
  <c r="E1336" i="1"/>
  <c r="O1312" i="1"/>
  <c r="M1312" i="1"/>
  <c r="K1312" i="1"/>
  <c r="I1312" i="1"/>
  <c r="G1312" i="1"/>
  <c r="E1312" i="1"/>
  <c r="C1312" i="1"/>
  <c r="Q1311" i="1"/>
  <c r="Q1310" i="1"/>
  <c r="Q1312" i="1" s="1"/>
  <c r="O1308" i="1"/>
  <c r="M1308" i="1"/>
  <c r="K1308" i="1"/>
  <c r="I1308" i="1"/>
  <c r="G1308" i="1"/>
  <c r="E1308" i="1"/>
  <c r="C1308" i="1"/>
  <c r="Q1307" i="1"/>
  <c r="Q1306" i="1"/>
  <c r="Q1305" i="1"/>
  <c r="Q1304" i="1"/>
  <c r="Q1303" i="1"/>
  <c r="Q1302" i="1"/>
  <c r="Q1301" i="1"/>
  <c r="Q1300" i="1"/>
  <c r="Q1297" i="1"/>
  <c r="O1297" i="1"/>
  <c r="M1297" i="1"/>
  <c r="K1297" i="1"/>
  <c r="I1297" i="1"/>
  <c r="G1297" i="1"/>
  <c r="E1297" i="1"/>
  <c r="C1297" i="1"/>
  <c r="Q1296" i="1"/>
  <c r="Q1295" i="1"/>
  <c r="Q1294" i="1"/>
  <c r="Q1293" i="1"/>
  <c r="O1290" i="1"/>
  <c r="O1314" i="1" s="1"/>
  <c r="M1290" i="1"/>
  <c r="M1314" i="1" s="1"/>
  <c r="K1290" i="1"/>
  <c r="I1290" i="1"/>
  <c r="G1290" i="1"/>
  <c r="G1314" i="1" s="1"/>
  <c r="E1290" i="1"/>
  <c r="E1314" i="1" s="1"/>
  <c r="C1290" i="1"/>
  <c r="C1314" i="1" s="1"/>
  <c r="Q1289" i="1"/>
  <c r="Q1288" i="1"/>
  <c r="Q1287" i="1"/>
  <c r="Q1286" i="1"/>
  <c r="Q1285" i="1"/>
  <c r="Q1284" i="1"/>
  <c r="Q1283" i="1"/>
  <c r="Q1282" i="1"/>
  <c r="Q1290" i="1" s="1"/>
  <c r="Q1281" i="1"/>
  <c r="Q1278" i="1"/>
  <c r="O1278" i="1"/>
  <c r="M1278" i="1"/>
  <c r="Q1277" i="1"/>
  <c r="O1277" i="1"/>
  <c r="M1277" i="1"/>
  <c r="K1277" i="1"/>
  <c r="G1277" i="1"/>
  <c r="E1277" i="1"/>
  <c r="C1277" i="1"/>
  <c r="M1276" i="1"/>
  <c r="I1276" i="1"/>
  <c r="E1273" i="1"/>
  <c r="E1272" i="1"/>
  <c r="E1271" i="1"/>
  <c r="M1257" i="1"/>
  <c r="Q1255" i="1"/>
  <c r="O1255" i="1"/>
  <c r="M1255" i="1"/>
  <c r="K1255" i="1"/>
  <c r="I1255" i="1"/>
  <c r="G1255" i="1"/>
  <c r="E1255" i="1"/>
  <c r="C1255" i="1"/>
  <c r="Q1254" i="1"/>
  <c r="Q1253" i="1"/>
  <c r="O1251" i="1"/>
  <c r="M1251" i="1"/>
  <c r="K1251" i="1"/>
  <c r="I1251" i="1"/>
  <c r="G1251" i="1"/>
  <c r="E1251" i="1"/>
  <c r="C1251" i="1"/>
  <c r="Q1250" i="1"/>
  <c r="Q1249" i="1"/>
  <c r="Q1248" i="1"/>
  <c r="Q1247" i="1"/>
  <c r="Q1246" i="1"/>
  <c r="Q1245" i="1"/>
  <c r="Q1244" i="1"/>
  <c r="Q1243" i="1"/>
  <c r="Q1242" i="1"/>
  <c r="Q1241" i="1"/>
  <c r="Q1240" i="1"/>
  <c r="Q1251" i="1" s="1"/>
  <c r="Q1239" i="1"/>
  <c r="Q1238" i="1"/>
  <c r="O1235" i="1"/>
  <c r="M1235" i="1"/>
  <c r="K1235" i="1"/>
  <c r="I1235" i="1"/>
  <c r="G1235" i="1"/>
  <c r="G1257" i="1" s="1"/>
  <c r="E1235" i="1"/>
  <c r="C1235" i="1"/>
  <c r="Q1234" i="1"/>
  <c r="Q1233" i="1"/>
  <c r="Q1232" i="1"/>
  <c r="Q1231" i="1"/>
  <c r="Q1230" i="1"/>
  <c r="Q1229" i="1"/>
  <c r="Q1228" i="1"/>
  <c r="Q1227" i="1"/>
  <c r="Q1226" i="1"/>
  <c r="Q1225" i="1"/>
  <c r="O1222" i="1"/>
  <c r="O1257" i="1" s="1"/>
  <c r="M1222" i="1"/>
  <c r="K1222" i="1"/>
  <c r="K1257" i="1" s="1"/>
  <c r="I1222" i="1"/>
  <c r="I1257" i="1" s="1"/>
  <c r="G1222" i="1"/>
  <c r="E1222" i="1"/>
  <c r="C1222" i="1"/>
  <c r="C1257" i="1" s="1"/>
  <c r="Q1221" i="1"/>
  <c r="Q1220" i="1"/>
  <c r="Q1219" i="1"/>
  <c r="Q1218" i="1"/>
  <c r="Q1217" i="1"/>
  <c r="Q1222" i="1" s="1"/>
  <c r="Q1216" i="1"/>
  <c r="Q1215" i="1"/>
  <c r="Q1212" i="1"/>
  <c r="O1212" i="1"/>
  <c r="M1212" i="1"/>
  <c r="Q1211" i="1"/>
  <c r="O1211" i="1"/>
  <c r="M1211" i="1"/>
  <c r="K1211" i="1"/>
  <c r="G1211" i="1"/>
  <c r="E1211" i="1"/>
  <c r="C1211" i="1"/>
  <c r="M1210" i="1"/>
  <c r="I1210" i="1"/>
  <c r="E1207" i="1"/>
  <c r="E1206" i="1"/>
  <c r="E1205" i="1"/>
  <c r="G1155" i="1"/>
  <c r="Q1153" i="1"/>
  <c r="O1153" i="1"/>
  <c r="M1153" i="1"/>
  <c r="I1153" i="1"/>
  <c r="G1153" i="1"/>
  <c r="E1153" i="1"/>
  <c r="C1153" i="1"/>
  <c r="Q1152" i="1"/>
  <c r="K1152" i="1"/>
  <c r="K1153" i="1" s="1"/>
  <c r="Q1151" i="1"/>
  <c r="Q1149" i="1"/>
  <c r="O1149" i="1"/>
  <c r="M1149" i="1"/>
  <c r="Q1148" i="1"/>
  <c r="O1148" i="1"/>
  <c r="M1148" i="1"/>
  <c r="K1148" i="1"/>
  <c r="G1148" i="1"/>
  <c r="E1148" i="1"/>
  <c r="C1148" i="1"/>
  <c r="M1147" i="1"/>
  <c r="I1147" i="1"/>
  <c r="E1144" i="1"/>
  <c r="E1143" i="1"/>
  <c r="E1142" i="1"/>
  <c r="O1138" i="1"/>
  <c r="M1138" i="1"/>
  <c r="M1155" i="1" s="1"/>
  <c r="I1138" i="1"/>
  <c r="G1138" i="1"/>
  <c r="E1138" i="1"/>
  <c r="C1138" i="1"/>
  <c r="Q1137" i="1"/>
  <c r="K1137" i="1"/>
  <c r="Q1136" i="1"/>
  <c r="Q1135" i="1"/>
  <c r="Q1134" i="1"/>
  <c r="Q1133" i="1"/>
  <c r="Q1132" i="1"/>
  <c r="Q1131" i="1"/>
  <c r="Q1130" i="1"/>
  <c r="K1130" i="1"/>
  <c r="Q1129" i="1"/>
  <c r="Q1128" i="1"/>
  <c r="Q1127" i="1"/>
  <c r="Q1126" i="1"/>
  <c r="Q1125" i="1"/>
  <c r="K1125" i="1"/>
  <c r="K1138" i="1" s="1"/>
  <c r="Q1124" i="1"/>
  <c r="Q1123" i="1"/>
  <c r="Q1122" i="1"/>
  <c r="Q1121" i="1"/>
  <c r="K1121" i="1"/>
  <c r="Q1120" i="1"/>
  <c r="K1120" i="1"/>
  <c r="Q1119" i="1"/>
  <c r="Q1118" i="1"/>
  <c r="Q1117" i="1"/>
  <c r="Q1138" i="1" s="1"/>
  <c r="Q1114" i="1"/>
  <c r="O1114" i="1"/>
  <c r="M1114" i="1"/>
  <c r="I1114" i="1"/>
  <c r="G1114" i="1"/>
  <c r="E1114" i="1"/>
  <c r="E1155" i="1" s="1"/>
  <c r="C1114" i="1"/>
  <c r="Q1113" i="1"/>
  <c r="K1113" i="1"/>
  <c r="K1114" i="1" s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O1097" i="1"/>
  <c r="M1097" i="1"/>
  <c r="I1097" i="1"/>
  <c r="I1155" i="1" s="1"/>
  <c r="G1097" i="1"/>
  <c r="E1097" i="1"/>
  <c r="C1097" i="1"/>
  <c r="C1155" i="1" s="1"/>
  <c r="Q1096" i="1"/>
  <c r="Q1095" i="1"/>
  <c r="Q1094" i="1"/>
  <c r="Q1093" i="1"/>
  <c r="Q1092" i="1"/>
  <c r="K1092" i="1"/>
  <c r="Q1091" i="1"/>
  <c r="Q1090" i="1"/>
  <c r="Q1089" i="1"/>
  <c r="K1089" i="1"/>
  <c r="Q1088" i="1"/>
  <c r="K1088" i="1"/>
  <c r="K1097" i="1" s="1"/>
  <c r="Q1085" i="1"/>
  <c r="O1085" i="1"/>
  <c r="M1085" i="1"/>
  <c r="Q1084" i="1"/>
  <c r="O1084" i="1"/>
  <c r="M1084" i="1"/>
  <c r="K1084" i="1"/>
  <c r="G1084" i="1"/>
  <c r="E1084" i="1"/>
  <c r="C1084" i="1"/>
  <c r="M1083" i="1"/>
  <c r="I1083" i="1"/>
  <c r="E1080" i="1"/>
  <c r="E1079" i="1"/>
  <c r="E1078" i="1"/>
  <c r="G1033" i="1"/>
  <c r="O1031" i="1"/>
  <c r="M1031" i="1"/>
  <c r="K1031" i="1"/>
  <c r="I1031" i="1"/>
  <c r="G1031" i="1"/>
  <c r="E1031" i="1"/>
  <c r="C1031" i="1"/>
  <c r="Q1030" i="1"/>
  <c r="Q1029" i="1"/>
  <c r="Q1031" i="1" s="1"/>
  <c r="K1027" i="1"/>
  <c r="C1027" i="1"/>
  <c r="Q1026" i="1"/>
  <c r="Q1025" i="1"/>
  <c r="Q1024" i="1"/>
  <c r="Q1022" i="1"/>
  <c r="O1022" i="1"/>
  <c r="M1022" i="1"/>
  <c r="Q1021" i="1"/>
  <c r="O1021" i="1"/>
  <c r="O1027" i="1" s="1"/>
  <c r="M1021" i="1"/>
  <c r="K1021" i="1"/>
  <c r="G1021" i="1"/>
  <c r="G1027" i="1" s="1"/>
  <c r="E1021" i="1"/>
  <c r="C1021" i="1"/>
  <c r="M1020" i="1"/>
  <c r="M1027" i="1" s="1"/>
  <c r="I1020" i="1"/>
  <c r="I1027" i="1" s="1"/>
  <c r="E1017" i="1"/>
  <c r="E1016" i="1"/>
  <c r="E1015" i="1"/>
  <c r="E1027" i="1" s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1027" i="1" s="1"/>
  <c r="O988" i="1"/>
  <c r="M988" i="1"/>
  <c r="M1033" i="1" s="1"/>
  <c r="K988" i="1"/>
  <c r="I988" i="1"/>
  <c r="G988" i="1"/>
  <c r="E988" i="1"/>
  <c r="C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O969" i="1"/>
  <c r="O1033" i="1" s="1"/>
  <c r="M969" i="1"/>
  <c r="K969" i="1"/>
  <c r="K1033" i="1" s="1"/>
  <c r="I969" i="1"/>
  <c r="G969" i="1"/>
  <c r="E969" i="1"/>
  <c r="C969" i="1"/>
  <c r="C1033" i="1" s="1"/>
  <c r="Q968" i="1"/>
  <c r="Q967" i="1"/>
  <c r="Q966" i="1"/>
  <c r="Q965" i="1"/>
  <c r="Q964" i="1"/>
  <c r="K964" i="1"/>
  <c r="Q963" i="1"/>
  <c r="Q962" i="1"/>
  <c r="Q969" i="1" s="1"/>
  <c r="Q961" i="1"/>
  <c r="Q960" i="1"/>
  <c r="Q957" i="1"/>
  <c r="O957" i="1"/>
  <c r="M957" i="1"/>
  <c r="Q956" i="1"/>
  <c r="O956" i="1"/>
  <c r="M956" i="1"/>
  <c r="K956" i="1"/>
  <c r="G956" i="1"/>
  <c r="E956" i="1"/>
  <c r="C956" i="1"/>
  <c r="M955" i="1"/>
  <c r="I955" i="1"/>
  <c r="E952" i="1"/>
  <c r="E951" i="1"/>
  <c r="E950" i="1"/>
  <c r="M937" i="1"/>
  <c r="G937" i="1"/>
  <c r="O935" i="1"/>
  <c r="M935" i="1"/>
  <c r="K935" i="1"/>
  <c r="I935" i="1"/>
  <c r="G935" i="1"/>
  <c r="E935" i="1"/>
  <c r="C935" i="1"/>
  <c r="Q934" i="1"/>
  <c r="Q933" i="1"/>
  <c r="Q935" i="1" s="1"/>
  <c r="O931" i="1"/>
  <c r="M931" i="1"/>
  <c r="K931" i="1"/>
  <c r="I931" i="1"/>
  <c r="G931" i="1"/>
  <c r="E931" i="1"/>
  <c r="C931" i="1"/>
  <c r="Q930" i="1"/>
  <c r="Q929" i="1"/>
  <c r="Q928" i="1"/>
  <c r="Q927" i="1"/>
  <c r="K927" i="1"/>
  <c r="Q926" i="1"/>
  <c r="Q925" i="1"/>
  <c r="Q924" i="1"/>
  <c r="Q923" i="1"/>
  <c r="K923" i="1"/>
  <c r="Q922" i="1"/>
  <c r="Q921" i="1"/>
  <c r="Q920" i="1"/>
  <c r="Q919" i="1"/>
  <c r="Q931" i="1" s="1"/>
  <c r="Q918" i="1"/>
  <c r="Q917" i="1"/>
  <c r="O914" i="1"/>
  <c r="M914" i="1"/>
  <c r="K914" i="1"/>
  <c r="I914" i="1"/>
  <c r="G914" i="1"/>
  <c r="E914" i="1"/>
  <c r="C914" i="1"/>
  <c r="Q913" i="1"/>
  <c r="Q912" i="1"/>
  <c r="Q911" i="1"/>
  <c r="Q910" i="1"/>
  <c r="Q909" i="1"/>
  <c r="Q908" i="1"/>
  <c r="O905" i="1"/>
  <c r="O937" i="1" s="1"/>
  <c r="M905" i="1"/>
  <c r="K905" i="1"/>
  <c r="K937" i="1" s="1"/>
  <c r="I905" i="1"/>
  <c r="I937" i="1" s="1"/>
  <c r="G905" i="1"/>
  <c r="E905" i="1"/>
  <c r="E937" i="1" s="1"/>
  <c r="C905" i="1"/>
  <c r="C937" i="1" s="1"/>
  <c r="Q904" i="1"/>
  <c r="Q903" i="1"/>
  <c r="Q902" i="1"/>
  <c r="Q901" i="1"/>
  <c r="Q900" i="1"/>
  <c r="Q899" i="1"/>
  <c r="Q898" i="1"/>
  <c r="Q895" i="1"/>
  <c r="O895" i="1"/>
  <c r="M895" i="1"/>
  <c r="Q894" i="1"/>
  <c r="O894" i="1"/>
  <c r="M894" i="1"/>
  <c r="K894" i="1"/>
  <c r="G894" i="1"/>
  <c r="E894" i="1"/>
  <c r="C894" i="1"/>
  <c r="M893" i="1"/>
  <c r="I893" i="1"/>
  <c r="E890" i="1"/>
  <c r="E889" i="1"/>
  <c r="E888" i="1"/>
  <c r="M843" i="1"/>
  <c r="Q841" i="1"/>
  <c r="O841" i="1"/>
  <c r="M841" i="1"/>
  <c r="K841" i="1"/>
  <c r="I841" i="1"/>
  <c r="G841" i="1"/>
  <c r="E841" i="1"/>
  <c r="E843" i="1" s="1"/>
  <c r="C841" i="1"/>
  <c r="Q840" i="1"/>
  <c r="Q839" i="1"/>
  <c r="O837" i="1"/>
  <c r="M837" i="1"/>
  <c r="I837" i="1"/>
  <c r="G837" i="1"/>
  <c r="E837" i="1"/>
  <c r="C837" i="1"/>
  <c r="Q836" i="1"/>
  <c r="Q835" i="1"/>
  <c r="Q834" i="1"/>
  <c r="Q832" i="1"/>
  <c r="O832" i="1"/>
  <c r="M832" i="1"/>
  <c r="Q831" i="1"/>
  <c r="O831" i="1"/>
  <c r="M831" i="1"/>
  <c r="K831" i="1"/>
  <c r="G831" i="1"/>
  <c r="E831" i="1"/>
  <c r="C831" i="1"/>
  <c r="M830" i="1"/>
  <c r="I830" i="1"/>
  <c r="E827" i="1"/>
  <c r="E826" i="1"/>
  <c r="E825" i="1"/>
  <c r="Q821" i="1"/>
  <c r="Q820" i="1"/>
  <c r="Q819" i="1"/>
  <c r="Q818" i="1"/>
  <c r="K818" i="1"/>
  <c r="Q817" i="1"/>
  <c r="Q816" i="1"/>
  <c r="K816" i="1"/>
  <c r="Q815" i="1"/>
  <c r="Q814" i="1"/>
  <c r="Q813" i="1"/>
  <c r="Q812" i="1"/>
  <c r="Q811" i="1"/>
  <c r="Q810" i="1"/>
  <c r="K810" i="1"/>
  <c r="Q809" i="1"/>
  <c r="Q808" i="1"/>
  <c r="K808" i="1"/>
  <c r="K837" i="1" s="1"/>
  <c r="Q807" i="1"/>
  <c r="Q806" i="1"/>
  <c r="Q805" i="1"/>
  <c r="Q804" i="1"/>
  <c r="Q803" i="1"/>
  <c r="Q802" i="1"/>
  <c r="Q801" i="1"/>
  <c r="Q800" i="1"/>
  <c r="O797" i="1"/>
  <c r="M797" i="1"/>
  <c r="K797" i="1"/>
  <c r="I797" i="1"/>
  <c r="G797" i="1"/>
  <c r="G843" i="1" s="1"/>
  <c r="E797" i="1"/>
  <c r="C797" i="1"/>
  <c r="Q796" i="1"/>
  <c r="Q795" i="1"/>
  <c r="Q794" i="1"/>
  <c r="Q793" i="1"/>
  <c r="Q792" i="1"/>
  <c r="Q791" i="1"/>
  <c r="K791" i="1"/>
  <c r="Q790" i="1"/>
  <c r="Q789" i="1"/>
  <c r="Q788" i="1"/>
  <c r="Q787" i="1"/>
  <c r="Q786" i="1"/>
  <c r="Q785" i="1"/>
  <c r="Q784" i="1"/>
  <c r="Q797" i="1" s="1"/>
  <c r="Q783" i="1"/>
  <c r="O780" i="1"/>
  <c r="M780" i="1"/>
  <c r="I780" i="1"/>
  <c r="I843" i="1" s="1"/>
  <c r="G780" i="1"/>
  <c r="E780" i="1"/>
  <c r="C780" i="1"/>
  <c r="C843" i="1" s="1"/>
  <c r="Q779" i="1"/>
  <c r="Q778" i="1"/>
  <c r="Q777" i="1"/>
  <c r="Q776" i="1"/>
  <c r="Q775" i="1"/>
  <c r="K775" i="1"/>
  <c r="K780" i="1" s="1"/>
  <c r="K843" i="1" s="1"/>
  <c r="Q774" i="1"/>
  <c r="Q773" i="1"/>
  <c r="Q772" i="1"/>
  <c r="Q780" i="1" s="1"/>
  <c r="Q769" i="1"/>
  <c r="O769" i="1"/>
  <c r="M769" i="1"/>
  <c r="Q768" i="1"/>
  <c r="O768" i="1"/>
  <c r="M768" i="1"/>
  <c r="K768" i="1"/>
  <c r="G768" i="1"/>
  <c r="E768" i="1"/>
  <c r="C768" i="1"/>
  <c r="M767" i="1"/>
  <c r="I767" i="1"/>
  <c r="E764" i="1"/>
  <c r="E763" i="1"/>
  <c r="E762" i="1"/>
  <c r="O739" i="1"/>
  <c r="I739" i="1"/>
  <c r="C739" i="1"/>
  <c r="O736" i="1"/>
  <c r="M736" i="1"/>
  <c r="K736" i="1"/>
  <c r="I736" i="1"/>
  <c r="G736" i="1"/>
  <c r="E736" i="1"/>
  <c r="C736" i="1"/>
  <c r="Q735" i="1"/>
  <c r="Q734" i="1"/>
  <c r="Q736" i="1" s="1"/>
  <c r="O732" i="1"/>
  <c r="M732" i="1"/>
  <c r="I732" i="1"/>
  <c r="G732" i="1"/>
  <c r="E732" i="1"/>
  <c r="C732" i="1"/>
  <c r="Q731" i="1"/>
  <c r="K731" i="1"/>
  <c r="Q730" i="1"/>
  <c r="Q729" i="1"/>
  <c r="K729" i="1"/>
  <c r="Q728" i="1"/>
  <c r="Q727" i="1"/>
  <c r="K727" i="1"/>
  <c r="Q726" i="1"/>
  <c r="K726" i="1"/>
  <c r="K732" i="1" s="1"/>
  <c r="Q725" i="1"/>
  <c r="O722" i="1"/>
  <c r="M722" i="1"/>
  <c r="M739" i="1" s="1"/>
  <c r="I722" i="1"/>
  <c r="G722" i="1"/>
  <c r="E722" i="1"/>
  <c r="C722" i="1"/>
  <c r="Q721" i="1"/>
  <c r="Q720" i="1"/>
  <c r="Q719" i="1"/>
  <c r="K719" i="1"/>
  <c r="K722" i="1" s="1"/>
  <c r="Q718" i="1"/>
  <c r="Q717" i="1"/>
  <c r="Q716" i="1"/>
  <c r="Q715" i="1"/>
  <c r="Q714" i="1"/>
  <c r="O711" i="1"/>
  <c r="M711" i="1"/>
  <c r="K711" i="1"/>
  <c r="K739" i="1" s="1"/>
  <c r="I711" i="1"/>
  <c r="G711" i="1"/>
  <c r="E711" i="1"/>
  <c r="E739" i="1" s="1"/>
  <c r="C711" i="1"/>
  <c r="Q710" i="1"/>
  <c r="Q709" i="1"/>
  <c r="Q708" i="1"/>
  <c r="Q707" i="1"/>
  <c r="Q706" i="1"/>
  <c r="Q705" i="1"/>
  <c r="Q711" i="1" s="1"/>
  <c r="Q702" i="1"/>
  <c r="O702" i="1"/>
  <c r="M702" i="1"/>
  <c r="Q701" i="1"/>
  <c r="O701" i="1"/>
  <c r="M701" i="1"/>
  <c r="K701" i="1"/>
  <c r="G701" i="1"/>
  <c r="E701" i="1"/>
  <c r="C701" i="1"/>
  <c r="M700" i="1"/>
  <c r="I700" i="1"/>
  <c r="E696" i="1"/>
  <c r="E695" i="1"/>
  <c r="E694" i="1"/>
  <c r="O693" i="1"/>
  <c r="O692" i="1"/>
  <c r="M692" i="1"/>
  <c r="K692" i="1"/>
  <c r="I692" i="1"/>
  <c r="G692" i="1"/>
  <c r="E692" i="1"/>
  <c r="C692" i="1"/>
  <c r="Q691" i="1"/>
  <c r="Q692" i="1" s="1"/>
  <c r="O688" i="1"/>
  <c r="M688" i="1"/>
  <c r="K688" i="1"/>
  <c r="I688" i="1"/>
  <c r="G688" i="1"/>
  <c r="E688" i="1"/>
  <c r="C688" i="1"/>
  <c r="Q687" i="1"/>
  <c r="Q688" i="1" s="1"/>
  <c r="Q686" i="1"/>
  <c r="O684" i="1"/>
  <c r="M684" i="1"/>
  <c r="K684" i="1"/>
  <c r="I684" i="1"/>
  <c r="G684" i="1"/>
  <c r="E684" i="1"/>
  <c r="C684" i="1"/>
  <c r="Q683" i="1"/>
  <c r="Q682" i="1"/>
  <c r="Q681" i="1"/>
  <c r="Q680" i="1"/>
  <c r="Q679" i="1"/>
  <c r="Q678" i="1"/>
  <c r="Q677" i="1"/>
  <c r="Q676" i="1"/>
  <c r="Q675" i="1"/>
  <c r="K675" i="1"/>
  <c r="Q674" i="1"/>
  <c r="Q673" i="1"/>
  <c r="Q672" i="1"/>
  <c r="Q671" i="1"/>
  <c r="Q670" i="1"/>
  <c r="Q669" i="1"/>
  <c r="Q668" i="1"/>
  <c r="Q667" i="1"/>
  <c r="Q666" i="1"/>
  <c r="Q665" i="1"/>
  <c r="Q684" i="1" s="1"/>
  <c r="O662" i="1"/>
  <c r="M662" i="1"/>
  <c r="K662" i="1"/>
  <c r="I662" i="1"/>
  <c r="G662" i="1"/>
  <c r="E662" i="1"/>
  <c r="C662" i="1"/>
  <c r="Q661" i="1"/>
  <c r="Q660" i="1"/>
  <c r="Q659" i="1"/>
  <c r="Q658" i="1"/>
  <c r="Q657" i="1"/>
  <c r="Q656" i="1"/>
  <c r="Q655" i="1"/>
  <c r="Q654" i="1"/>
  <c r="Q653" i="1"/>
  <c r="Q652" i="1"/>
  <c r="Q651" i="1"/>
  <c r="Q662" i="1" s="1"/>
  <c r="O648" i="1"/>
  <c r="M648" i="1"/>
  <c r="M693" i="1" s="1"/>
  <c r="I648" i="1"/>
  <c r="G648" i="1"/>
  <c r="G693" i="1" s="1"/>
  <c r="E648" i="1"/>
  <c r="E693" i="1" s="1"/>
  <c r="C648" i="1"/>
  <c r="C693" i="1" s="1"/>
  <c r="Q647" i="1"/>
  <c r="Q646" i="1"/>
  <c r="Q645" i="1"/>
  <c r="Q644" i="1"/>
  <c r="Q643" i="1"/>
  <c r="K643" i="1"/>
  <c r="K648" i="1" s="1"/>
  <c r="K693" i="1" s="1"/>
  <c r="Q642" i="1"/>
  <c r="Q641" i="1"/>
  <c r="Q640" i="1"/>
  <c r="Q639" i="1"/>
  <c r="Q648" i="1" s="1"/>
  <c r="Q636" i="1"/>
  <c r="O636" i="1"/>
  <c r="M636" i="1"/>
  <c r="Q635" i="1"/>
  <c r="O635" i="1"/>
  <c r="M635" i="1"/>
  <c r="K635" i="1"/>
  <c r="G635" i="1"/>
  <c r="E635" i="1"/>
  <c r="C635" i="1"/>
  <c r="M634" i="1"/>
  <c r="I634" i="1"/>
  <c r="E631" i="1"/>
  <c r="E630" i="1"/>
  <c r="E629" i="1"/>
  <c r="Q587" i="1"/>
  <c r="O587" i="1"/>
  <c r="M587" i="1"/>
  <c r="K587" i="1"/>
  <c r="I587" i="1"/>
  <c r="G587" i="1"/>
  <c r="E587" i="1"/>
  <c r="C587" i="1"/>
  <c r="Q586" i="1"/>
  <c r="O583" i="1"/>
  <c r="M583" i="1"/>
  <c r="K583" i="1"/>
  <c r="I583" i="1"/>
  <c r="G583" i="1"/>
  <c r="E583" i="1"/>
  <c r="C583" i="1"/>
  <c r="Q582" i="1"/>
  <c r="Q581" i="1"/>
  <c r="Q583" i="1" s="1"/>
  <c r="Q580" i="1"/>
  <c r="O578" i="1"/>
  <c r="C578" i="1"/>
  <c r="Q577" i="1"/>
  <c r="Q576" i="1"/>
  <c r="Q575" i="1"/>
  <c r="Q573" i="1"/>
  <c r="O573" i="1"/>
  <c r="M573" i="1"/>
  <c r="Q572" i="1"/>
  <c r="O572" i="1"/>
  <c r="M572" i="1"/>
  <c r="K572" i="1"/>
  <c r="G572" i="1"/>
  <c r="G578" i="1" s="1"/>
  <c r="E572" i="1"/>
  <c r="C572" i="1"/>
  <c r="M571" i="1"/>
  <c r="M578" i="1" s="1"/>
  <c r="I571" i="1"/>
  <c r="I578" i="1" s="1"/>
  <c r="E568" i="1"/>
  <c r="E567" i="1"/>
  <c r="E566" i="1"/>
  <c r="E578" i="1" s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K550" i="1"/>
  <c r="Q549" i="1"/>
  <c r="Q548" i="1"/>
  <c r="Q547" i="1"/>
  <c r="Q546" i="1"/>
  <c r="Q545" i="1"/>
  <c r="K545" i="1"/>
  <c r="Q544" i="1"/>
  <c r="Q543" i="1"/>
  <c r="K543" i="1"/>
  <c r="K578" i="1" s="1"/>
  <c r="Q542" i="1"/>
  <c r="Q541" i="1"/>
  <c r="O538" i="1"/>
  <c r="M538" i="1"/>
  <c r="M589" i="1" s="1"/>
  <c r="K538" i="1"/>
  <c r="I538" i="1"/>
  <c r="G538" i="1"/>
  <c r="E538" i="1"/>
  <c r="C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O522" i="1"/>
  <c r="O589" i="1" s="1"/>
  <c r="M522" i="1"/>
  <c r="K522" i="1"/>
  <c r="I522" i="1"/>
  <c r="G522" i="1"/>
  <c r="E522" i="1"/>
  <c r="C522" i="1"/>
  <c r="C589" i="1" s="1"/>
  <c r="Q521" i="1"/>
  <c r="Q520" i="1"/>
  <c r="Q519" i="1"/>
  <c r="Q518" i="1"/>
  <c r="Q517" i="1"/>
  <c r="K517" i="1"/>
  <c r="Q516" i="1"/>
  <c r="Q515" i="1"/>
  <c r="Q522" i="1" s="1"/>
  <c r="Q514" i="1"/>
  <c r="Q513" i="1"/>
  <c r="Q510" i="1"/>
  <c r="O510" i="1"/>
  <c r="M510" i="1"/>
  <c r="Q509" i="1"/>
  <c r="O509" i="1"/>
  <c r="M509" i="1"/>
  <c r="K509" i="1"/>
  <c r="G509" i="1"/>
  <c r="E509" i="1"/>
  <c r="C509" i="1"/>
  <c r="M508" i="1"/>
  <c r="I508" i="1"/>
  <c r="E505" i="1"/>
  <c r="E504" i="1"/>
  <c r="E503" i="1"/>
  <c r="G464" i="1"/>
  <c r="O462" i="1"/>
  <c r="M462" i="1"/>
  <c r="K462" i="1"/>
  <c r="I462" i="1"/>
  <c r="G462" i="1"/>
  <c r="E462" i="1"/>
  <c r="C462" i="1"/>
  <c r="Q461" i="1"/>
  <c r="Q460" i="1"/>
  <c r="Q462" i="1" s="1"/>
  <c r="Q459" i="1"/>
  <c r="O456" i="1"/>
  <c r="M456" i="1"/>
  <c r="K456" i="1"/>
  <c r="I456" i="1"/>
  <c r="G456" i="1"/>
  <c r="E456" i="1"/>
  <c r="C456" i="1"/>
  <c r="Q455" i="1"/>
  <c r="Q454" i="1"/>
  <c r="Q456" i="1" s="1"/>
  <c r="O452" i="1"/>
  <c r="M452" i="1"/>
  <c r="M464" i="1" s="1"/>
  <c r="K452" i="1"/>
  <c r="I452" i="1"/>
  <c r="G452" i="1"/>
  <c r="E452" i="1"/>
  <c r="C452" i="1"/>
  <c r="Q451" i="1"/>
  <c r="Q450" i="1"/>
  <c r="Q449" i="1"/>
  <c r="Q447" i="1"/>
  <c r="Q445" i="1"/>
  <c r="O445" i="1"/>
  <c r="M445" i="1"/>
  <c r="Q444" i="1"/>
  <c r="O444" i="1"/>
  <c r="M444" i="1"/>
  <c r="K444" i="1"/>
  <c r="G444" i="1"/>
  <c r="E444" i="1"/>
  <c r="C444" i="1"/>
  <c r="M443" i="1"/>
  <c r="I443" i="1"/>
  <c r="E440" i="1"/>
  <c r="E439" i="1"/>
  <c r="E438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O413" i="1"/>
  <c r="M413" i="1"/>
  <c r="K413" i="1"/>
  <c r="I413" i="1"/>
  <c r="G413" i="1"/>
  <c r="E413" i="1"/>
  <c r="C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O393" i="1"/>
  <c r="O464" i="1" s="1"/>
  <c r="M393" i="1"/>
  <c r="I393" i="1"/>
  <c r="G393" i="1"/>
  <c r="E393" i="1"/>
  <c r="C393" i="1"/>
  <c r="C464" i="1" s="1"/>
  <c r="Q392" i="1"/>
  <c r="Q391" i="1"/>
  <c r="Q390" i="1"/>
  <c r="Q389" i="1"/>
  <c r="Q388" i="1"/>
  <c r="Q387" i="1"/>
  <c r="K387" i="1"/>
  <c r="K393" i="1" s="1"/>
  <c r="K464" i="1" s="1"/>
  <c r="Q386" i="1"/>
  <c r="Q385" i="1"/>
  <c r="Q384" i="1"/>
  <c r="Q383" i="1"/>
  <c r="Q380" i="1"/>
  <c r="O380" i="1"/>
  <c r="M380" i="1"/>
  <c r="Q379" i="1"/>
  <c r="O379" i="1"/>
  <c r="M379" i="1"/>
  <c r="K379" i="1"/>
  <c r="G379" i="1"/>
  <c r="E379" i="1"/>
  <c r="C379" i="1"/>
  <c r="M378" i="1"/>
  <c r="I378" i="1"/>
  <c r="E375" i="1"/>
  <c r="E374" i="1"/>
  <c r="E373" i="1"/>
  <c r="O354" i="1"/>
  <c r="M354" i="1"/>
  <c r="K354" i="1"/>
  <c r="I354" i="1"/>
  <c r="G354" i="1"/>
  <c r="E354" i="1"/>
  <c r="C354" i="1"/>
  <c r="Q353" i="1"/>
  <c r="Q352" i="1"/>
  <c r="Q351" i="1"/>
  <c r="Q350" i="1"/>
  <c r="Q349" i="1"/>
  <c r="Q348" i="1"/>
  <c r="Q347" i="1"/>
  <c r="Q346" i="1"/>
  <c r="Q345" i="1"/>
  <c r="O342" i="1"/>
  <c r="M342" i="1"/>
  <c r="K342" i="1"/>
  <c r="I342" i="1"/>
  <c r="G342" i="1"/>
  <c r="E342" i="1"/>
  <c r="C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I326" i="1"/>
  <c r="E326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09" i="1"/>
  <c r="Q308" i="1"/>
  <c r="Q307" i="1"/>
  <c r="Q306" i="1"/>
  <c r="Q304" i="1"/>
  <c r="Q298" i="1"/>
  <c r="Q297" i="1"/>
  <c r="Q294" i="1"/>
  <c r="O294" i="1"/>
  <c r="M294" i="1"/>
  <c r="Q293" i="1"/>
  <c r="O293" i="1"/>
  <c r="O326" i="1" s="1"/>
  <c r="M293" i="1"/>
  <c r="K293" i="1"/>
  <c r="K326" i="1" s="1"/>
  <c r="G293" i="1"/>
  <c r="G326" i="1" s="1"/>
  <c r="E293" i="1"/>
  <c r="C293" i="1"/>
  <c r="C326" i="1" s="1"/>
  <c r="M292" i="1"/>
  <c r="M326" i="1" s="1"/>
  <c r="I292" i="1"/>
  <c r="E289" i="1"/>
  <c r="E288" i="1"/>
  <c r="E287" i="1"/>
  <c r="Q284" i="1"/>
  <c r="Q283" i="1"/>
  <c r="Q282" i="1"/>
  <c r="Q281" i="1"/>
  <c r="Q280" i="1"/>
  <c r="Q279" i="1"/>
  <c r="Q277" i="1"/>
  <c r="Q276" i="1"/>
  <c r="Q275" i="1"/>
  <c r="Q274" i="1"/>
  <c r="Q273" i="1"/>
  <c r="Q272" i="1"/>
  <c r="Q271" i="1"/>
  <c r="Q270" i="1"/>
  <c r="Q269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K255" i="1"/>
  <c r="Q254" i="1"/>
  <c r="Q253" i="1"/>
  <c r="Q252" i="1"/>
  <c r="Q251" i="1"/>
  <c r="Q250" i="1"/>
  <c r="Q249" i="1"/>
  <c r="Q248" i="1"/>
  <c r="Q246" i="1"/>
  <c r="Q245" i="1"/>
  <c r="Q244" i="1"/>
  <c r="Q243" i="1"/>
  <c r="Q242" i="1"/>
  <c r="Q241" i="1"/>
  <c r="Q240" i="1"/>
  <c r="Q239" i="1"/>
  <c r="Q236" i="1"/>
  <c r="Q235" i="1"/>
  <c r="Q234" i="1"/>
  <c r="Q233" i="1"/>
  <c r="Q232" i="1"/>
  <c r="Q230" i="1"/>
  <c r="Q229" i="1"/>
  <c r="Q228" i="1"/>
  <c r="Q226" i="1"/>
  <c r="Q225" i="1"/>
  <c r="Q224" i="1"/>
  <c r="Q326" i="1" s="1"/>
  <c r="Q223" i="1"/>
  <c r="Q220" i="1"/>
  <c r="O220" i="1"/>
  <c r="M220" i="1"/>
  <c r="Q219" i="1"/>
  <c r="O219" i="1"/>
  <c r="M219" i="1"/>
  <c r="K219" i="1"/>
  <c r="G219" i="1"/>
  <c r="E219" i="1"/>
  <c r="C219" i="1"/>
  <c r="M218" i="1"/>
  <c r="I218" i="1"/>
  <c r="E215" i="1"/>
  <c r="E214" i="1"/>
  <c r="E213" i="1"/>
  <c r="O202" i="1"/>
  <c r="M202" i="1"/>
  <c r="I202" i="1"/>
  <c r="G202" i="1"/>
  <c r="E202" i="1"/>
  <c r="C202" i="1"/>
  <c r="Q201" i="1"/>
  <c r="Q200" i="1"/>
  <c r="Q199" i="1"/>
  <c r="Q198" i="1"/>
  <c r="Q197" i="1"/>
  <c r="Q196" i="1"/>
  <c r="Q195" i="1"/>
  <c r="Q194" i="1"/>
  <c r="K194" i="1"/>
  <c r="K202" i="1" s="1"/>
  <c r="O191" i="1"/>
  <c r="M191" i="1"/>
  <c r="K191" i="1"/>
  <c r="I191" i="1"/>
  <c r="G191" i="1"/>
  <c r="E191" i="1"/>
  <c r="C191" i="1"/>
  <c r="Q190" i="1"/>
  <c r="Q189" i="1"/>
  <c r="Q188" i="1"/>
  <c r="Q187" i="1"/>
  <c r="Q186" i="1"/>
  <c r="Q185" i="1"/>
  <c r="Q184" i="1"/>
  <c r="Q183" i="1"/>
  <c r="Q180" i="1"/>
  <c r="O180" i="1"/>
  <c r="M180" i="1"/>
  <c r="K180" i="1"/>
  <c r="I180" i="1"/>
  <c r="G180" i="1"/>
  <c r="E180" i="1"/>
  <c r="Q179" i="1"/>
  <c r="Q178" i="1"/>
  <c r="Q177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E157" i="1"/>
  <c r="C157" i="1"/>
  <c r="C180" i="1" s="1"/>
  <c r="Q156" i="1"/>
  <c r="Q153" i="1"/>
  <c r="O153" i="1"/>
  <c r="M153" i="1"/>
  <c r="Q152" i="1"/>
  <c r="O152" i="1"/>
  <c r="M152" i="1"/>
  <c r="K152" i="1"/>
  <c r="G152" i="1"/>
  <c r="E152" i="1"/>
  <c r="C152" i="1"/>
  <c r="M151" i="1"/>
  <c r="E148" i="1"/>
  <c r="E147" i="1"/>
  <c r="E146" i="1"/>
  <c r="O135" i="1"/>
  <c r="M135" i="1"/>
  <c r="K135" i="1"/>
  <c r="I135" i="1"/>
  <c r="E135" i="1"/>
  <c r="C135" i="1"/>
  <c r="Q134" i="1"/>
  <c r="Q133" i="1"/>
  <c r="Q132" i="1"/>
  <c r="Q131" i="1"/>
  <c r="Q130" i="1"/>
  <c r="Q129" i="1"/>
  <c r="Q128" i="1"/>
  <c r="Q127" i="1"/>
  <c r="G127" i="1"/>
  <c r="G135" i="1" s="1"/>
  <c r="Q126" i="1"/>
  <c r="Q125" i="1"/>
  <c r="Q124" i="1"/>
  <c r="Q123" i="1"/>
  <c r="O120" i="1"/>
  <c r="M120" i="1"/>
  <c r="K120" i="1"/>
  <c r="I120" i="1"/>
  <c r="G120" i="1"/>
  <c r="E120" i="1"/>
  <c r="Q119" i="1"/>
  <c r="Q118" i="1"/>
  <c r="Q117" i="1"/>
  <c r="K117" i="1"/>
  <c r="Q116" i="1"/>
  <c r="Q115" i="1"/>
  <c r="Q114" i="1"/>
  <c r="Q113" i="1"/>
  <c r="Q112" i="1"/>
  <c r="Q111" i="1"/>
  <c r="G111" i="1"/>
  <c r="E111" i="1"/>
  <c r="C111" i="1"/>
  <c r="C120" i="1" s="1"/>
  <c r="O108" i="1"/>
  <c r="M108" i="1"/>
  <c r="K108" i="1"/>
  <c r="I108" i="1"/>
  <c r="G108" i="1"/>
  <c r="E108" i="1"/>
  <c r="C108" i="1"/>
  <c r="Q107" i="1"/>
  <c r="Q106" i="1"/>
  <c r="Q105" i="1"/>
  <c r="Q104" i="1"/>
  <c r="Q103" i="1"/>
  <c r="Q102" i="1"/>
  <c r="E102" i="1"/>
  <c r="Q101" i="1"/>
  <c r="Q100" i="1"/>
  <c r="Q99" i="1"/>
  <c r="Q98" i="1"/>
  <c r="Q97" i="1"/>
  <c r="O94" i="1"/>
  <c r="M94" i="1"/>
  <c r="K94" i="1"/>
  <c r="I94" i="1"/>
  <c r="G94" i="1"/>
  <c r="E94" i="1"/>
  <c r="C94" i="1"/>
  <c r="Q93" i="1"/>
  <c r="Q92" i="1"/>
  <c r="Q91" i="1"/>
  <c r="Q90" i="1"/>
  <c r="Q89" i="1"/>
  <c r="K89" i="1"/>
  <c r="Q88" i="1"/>
  <c r="Q94" i="1" s="1"/>
  <c r="Q87" i="1"/>
  <c r="Q86" i="1"/>
  <c r="Q85" i="1"/>
  <c r="Q82" i="1"/>
  <c r="O82" i="1"/>
  <c r="M82" i="1"/>
  <c r="Q81" i="1"/>
  <c r="O81" i="1"/>
  <c r="M81" i="1"/>
  <c r="K81" i="1"/>
  <c r="G81" i="1"/>
  <c r="E81" i="1"/>
  <c r="C81" i="1"/>
  <c r="M80" i="1"/>
  <c r="I80" i="1"/>
  <c r="I151" i="1" s="1"/>
  <c r="E77" i="1"/>
  <c r="E76" i="1"/>
  <c r="E75" i="1"/>
  <c r="Q68" i="1"/>
  <c r="O68" i="1"/>
  <c r="O357" i="1" s="1"/>
  <c r="M68" i="1"/>
  <c r="K68" i="1"/>
  <c r="I68" i="1"/>
  <c r="G68" i="1"/>
  <c r="E68" i="1"/>
  <c r="C68" i="1"/>
  <c r="C357" i="1" s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O44" i="1"/>
  <c r="M44" i="1"/>
  <c r="I44" i="1"/>
  <c r="G44" i="1"/>
  <c r="E44" i="1"/>
  <c r="C44" i="1"/>
  <c r="Q43" i="1"/>
  <c r="Q42" i="1"/>
  <c r="Q41" i="1"/>
  <c r="Q40" i="1"/>
  <c r="Q39" i="1"/>
  <c r="Q38" i="1"/>
  <c r="Q37" i="1"/>
  <c r="K37" i="1"/>
  <c r="K44" i="1" s="1"/>
  <c r="Q36" i="1"/>
  <c r="Q35" i="1"/>
  <c r="Q34" i="1"/>
  <c r="Q44" i="1" s="1"/>
  <c r="Q33" i="1"/>
  <c r="Q32" i="1"/>
  <c r="Q31" i="1"/>
  <c r="Q28" i="1"/>
  <c r="O28" i="1"/>
  <c r="M28" i="1"/>
  <c r="K28" i="1"/>
  <c r="I28" i="1"/>
  <c r="G28" i="1"/>
  <c r="E28" i="1"/>
  <c r="C28" i="1"/>
  <c r="Q27" i="1"/>
  <c r="Q26" i="1"/>
  <c r="Q25" i="1"/>
  <c r="Q24" i="1"/>
  <c r="O21" i="1"/>
  <c r="M21" i="1"/>
  <c r="K21" i="1"/>
  <c r="I21" i="1"/>
  <c r="I357" i="1" s="1"/>
  <c r="G21" i="1"/>
  <c r="G357" i="1" s="1"/>
  <c r="E21" i="1"/>
  <c r="C21" i="1"/>
  <c r="Q20" i="1"/>
  <c r="Q19" i="1"/>
  <c r="Q18" i="1"/>
  <c r="Q17" i="1"/>
  <c r="Q16" i="1"/>
  <c r="Q21" i="1" s="1"/>
  <c r="C11" i="1"/>
  <c r="K2427" i="1" l="1"/>
  <c r="Q2137" i="1"/>
  <c r="Q2266" i="1"/>
  <c r="Q2304" i="1" s="1"/>
  <c r="Q2670" i="1"/>
  <c r="K357" i="1"/>
  <c r="Q120" i="1"/>
  <c r="Q135" i="1"/>
  <c r="E589" i="1"/>
  <c r="Q722" i="1"/>
  <c r="Q843" i="1"/>
  <c r="Q914" i="1"/>
  <c r="I1033" i="1"/>
  <c r="E1257" i="1"/>
  <c r="Q1459" i="1"/>
  <c r="Q1606" i="1"/>
  <c r="K1606" i="1"/>
  <c r="Q1578" i="1"/>
  <c r="I1720" i="1"/>
  <c r="Q1965" i="1"/>
  <c r="Q2015" i="1" s="1"/>
  <c r="Q2073" i="1"/>
  <c r="I2231" i="1"/>
  <c r="Q2263" i="1"/>
  <c r="M2266" i="1"/>
  <c r="M357" i="1"/>
  <c r="Q108" i="1"/>
  <c r="Q357" i="1" s="1"/>
  <c r="Q202" i="1"/>
  <c r="Q538" i="1"/>
  <c r="Q578" i="1"/>
  <c r="Q693" i="1"/>
  <c r="I1314" i="1"/>
  <c r="Q1419" i="1"/>
  <c r="K2231" i="1"/>
  <c r="C2366" i="1"/>
  <c r="C2427" i="1"/>
  <c r="C2431" i="1"/>
  <c r="E2348" i="1" s="1"/>
  <c r="E464" i="1"/>
  <c r="I589" i="1"/>
  <c r="I693" i="1"/>
  <c r="Q732" i="1"/>
  <c r="Q739" i="1" s="1"/>
  <c r="O843" i="1"/>
  <c r="Q1314" i="1"/>
  <c r="K1314" i="1"/>
  <c r="Q1435" i="1"/>
  <c r="Q2152" i="1"/>
  <c r="M2427" i="1"/>
  <c r="Q2401" i="1"/>
  <c r="Q2408" i="1" s="1"/>
  <c r="Q2425" i="1" s="1"/>
  <c r="Q2497" i="1"/>
  <c r="Q2541" i="1" s="1"/>
  <c r="E357" i="1"/>
  <c r="Q413" i="1"/>
  <c r="Q589" i="1"/>
  <c r="K589" i="1"/>
  <c r="G739" i="1"/>
  <c r="K1155" i="1"/>
  <c r="K2320" i="1" s="1"/>
  <c r="O1155" i="1"/>
  <c r="Q1769" i="1"/>
  <c r="O2015" i="1"/>
  <c r="O2320" i="1" s="1"/>
  <c r="O2323" i="1" s="1"/>
  <c r="Q191" i="1"/>
  <c r="Q354" i="1"/>
  <c r="I464" i="1"/>
  <c r="I2320" i="1" s="1"/>
  <c r="I2323" i="1" s="1"/>
  <c r="G589" i="1"/>
  <c r="E1033" i="1"/>
  <c r="Q1097" i="1"/>
  <c r="Q1155" i="1" s="1"/>
  <c r="G1511" i="1"/>
  <c r="Q3035" i="1"/>
  <c r="Q837" i="1"/>
  <c r="Q1235" i="1"/>
  <c r="Q1361" i="1"/>
  <c r="Q1372" i="1" s="1"/>
  <c r="Q1860" i="1"/>
  <c r="M1878" i="1"/>
  <c r="G2015" i="1"/>
  <c r="C2087" i="1"/>
  <c r="C2320" i="1" s="1"/>
  <c r="O2087" i="1"/>
  <c r="E2541" i="1"/>
  <c r="E2942" i="1" s="1"/>
  <c r="C2543" i="1"/>
  <c r="Q3021" i="1"/>
  <c r="I3079" i="1"/>
  <c r="Q1623" i="1"/>
  <c r="Q1625" i="1" s="1"/>
  <c r="M1793" i="1"/>
  <c r="Q2203" i="1"/>
  <c r="I2699" i="1"/>
  <c r="Q2880" i="1"/>
  <c r="Q2886" i="1" s="1"/>
  <c r="Q3486" i="1"/>
  <c r="C360" i="1"/>
  <c r="Q393" i="1"/>
  <c r="Q464" i="1" s="1"/>
  <c r="Q905" i="1"/>
  <c r="Q937" i="1" s="1"/>
  <c r="K2015" i="1"/>
  <c r="Q2081" i="1"/>
  <c r="Q3276" i="1"/>
  <c r="K3653" i="1"/>
  <c r="Q342" i="1"/>
  <c r="Q452" i="1"/>
  <c r="Q988" i="1"/>
  <c r="Q1033" i="1" s="1"/>
  <c r="Q1308" i="1"/>
  <c r="Q1370" i="1"/>
  <c r="Q1462" i="1"/>
  <c r="Q1463" i="1" s="1"/>
  <c r="Q1714" i="1"/>
  <c r="Q1720" i="1" s="1"/>
  <c r="E1793" i="1"/>
  <c r="Q1992" i="1"/>
  <c r="E2210" i="1"/>
  <c r="E2231" i="1" s="1"/>
  <c r="K2266" i="1"/>
  <c r="K2304" i="1" s="1"/>
  <c r="Q2509" i="1"/>
  <c r="K2541" i="1"/>
  <c r="C2940" i="1"/>
  <c r="C2942" i="1" s="1"/>
  <c r="K2699" i="1"/>
  <c r="K2940" i="1" s="1"/>
  <c r="E2886" i="1"/>
  <c r="E2940" i="1" s="1"/>
  <c r="Q1754" i="1"/>
  <c r="Q1793" i="1" s="1"/>
  <c r="I1878" i="1"/>
  <c r="Q1838" i="1"/>
  <c r="Q1878" i="1" s="1"/>
  <c r="K2087" i="1"/>
  <c r="M2231" i="1"/>
  <c r="Q2223" i="1"/>
  <c r="Q2356" i="1"/>
  <c r="Q2363" i="1" s="1"/>
  <c r="M2541" i="1"/>
  <c r="M2942" i="1" s="1"/>
  <c r="O2699" i="1"/>
  <c r="O2940" i="1" s="1"/>
  <c r="Q2697" i="1"/>
  <c r="C3908" i="1"/>
  <c r="K4203" i="1"/>
  <c r="O4201" i="1"/>
  <c r="K3079" i="1"/>
  <c r="I3214" i="1"/>
  <c r="K3186" i="1"/>
  <c r="K3214" i="1" s="1"/>
  <c r="K3716" i="1" s="1"/>
  <c r="Q3203" i="1"/>
  <c r="Q3214" i="1" s="1"/>
  <c r="E3716" i="1"/>
  <c r="E3718" i="1" s="1"/>
  <c r="K3486" i="1"/>
  <c r="Q3575" i="1"/>
  <c r="G3653" i="1"/>
  <c r="G3716" i="1" s="1"/>
  <c r="G3718" i="1" s="1"/>
  <c r="Q3593" i="1"/>
  <c r="Q3773" i="1"/>
  <c r="Q3779" i="1" s="1"/>
  <c r="E3854" i="1"/>
  <c r="O3854" i="1"/>
  <c r="Q3824" i="1"/>
  <c r="Q3835" i="1" s="1"/>
  <c r="Q3852" i="1" s="1"/>
  <c r="C3953" i="1"/>
  <c r="C3970" i="1" s="1"/>
  <c r="C3972" i="1" s="1"/>
  <c r="O3953" i="1"/>
  <c r="O3970" i="1" s="1"/>
  <c r="O3972" i="1" s="1"/>
  <c r="Q4099" i="1"/>
  <c r="Q4123" i="1"/>
  <c r="Q4153" i="1" s="1"/>
  <c r="Q4201" i="1" s="1"/>
  <c r="Q4203" i="1" s="1"/>
  <c r="E4153" i="1"/>
  <c r="E4201" i="1" s="1"/>
  <c r="G4529" i="1"/>
  <c r="Q3047" i="1"/>
  <c r="Q3212" i="1"/>
  <c r="Q3355" i="1"/>
  <c r="Q3357" i="1" s="1"/>
  <c r="Q3541" i="1"/>
  <c r="Q3547" i="1" s="1"/>
  <c r="G3854" i="1"/>
  <c r="C3782" i="1"/>
  <c r="C3858" i="1"/>
  <c r="E3758" i="1" s="1"/>
  <c r="C3854" i="1"/>
  <c r="G3972" i="1"/>
  <c r="M4203" i="1"/>
  <c r="C4306" i="1"/>
  <c r="C4533" i="1"/>
  <c r="E4265" i="1" s="1"/>
  <c r="C4529" i="1"/>
  <c r="O4529" i="1"/>
  <c r="G4527" i="1"/>
  <c r="Q4969" i="1"/>
  <c r="C5642" i="1"/>
  <c r="C5658" i="1" s="1"/>
  <c r="O5642" i="1"/>
  <c r="O5658" i="1" s="1"/>
  <c r="O5660" i="1" s="1"/>
  <c r="Q2627" i="1"/>
  <c r="Q2699" i="1" s="1"/>
  <c r="Q2758" i="1"/>
  <c r="Q2797" i="1"/>
  <c r="C3079" i="1"/>
  <c r="O3079" i="1"/>
  <c r="O3214" i="1"/>
  <c r="M3276" i="1"/>
  <c r="I3357" i="1"/>
  <c r="M3716" i="1"/>
  <c r="M3718" i="1" s="1"/>
  <c r="I3653" i="1"/>
  <c r="I3905" i="1"/>
  <c r="I3972" i="1" s="1"/>
  <c r="C4041" i="1"/>
  <c r="C4207" i="1"/>
  <c r="E4008" i="1" s="1"/>
  <c r="I4527" i="1"/>
  <c r="I4529" i="1" s="1"/>
  <c r="O4856" i="1"/>
  <c r="Q4907" i="1"/>
  <c r="E5506" i="1"/>
  <c r="G2699" i="1"/>
  <c r="G2940" i="1" s="1"/>
  <c r="G2942" i="1" s="1"/>
  <c r="I2886" i="1"/>
  <c r="I2940" i="1" s="1"/>
  <c r="I2942" i="1" s="1"/>
  <c r="C3214" i="1"/>
  <c r="E3486" i="1"/>
  <c r="M3779" i="1"/>
  <c r="M3854" i="1" s="1"/>
  <c r="E3972" i="1"/>
  <c r="E4203" i="1"/>
  <c r="K4378" i="1"/>
  <c r="Q4405" i="1"/>
  <c r="Q4435" i="1" s="1"/>
  <c r="M4435" i="1"/>
  <c r="M4527" i="1" s="1"/>
  <c r="M4529" i="1" s="1"/>
  <c r="Q4621" i="1"/>
  <c r="O4738" i="1"/>
  <c r="O4854" i="1" s="1"/>
  <c r="M5099" i="1"/>
  <c r="Q3013" i="1"/>
  <c r="C3357" i="1"/>
  <c r="O3357" i="1"/>
  <c r="O3716" i="1" s="1"/>
  <c r="O3653" i="1"/>
  <c r="C4621" i="1"/>
  <c r="Q4665" i="1"/>
  <c r="C4738" i="1"/>
  <c r="C4854" i="1" s="1"/>
  <c r="K4994" i="1"/>
  <c r="I4976" i="1"/>
  <c r="I4992" i="1" s="1"/>
  <c r="I4994" i="1" s="1"/>
  <c r="I5190" i="1"/>
  <c r="I5508" i="1" s="1"/>
  <c r="G5373" i="1"/>
  <c r="G5506" i="1" s="1"/>
  <c r="G5508" i="1" s="1"/>
  <c r="C5660" i="1"/>
  <c r="C5585" i="1"/>
  <c r="O4038" i="1"/>
  <c r="O4203" i="1" s="1"/>
  <c r="Q4352" i="1"/>
  <c r="Q4378" i="1" s="1"/>
  <c r="M4502" i="1"/>
  <c r="Q4486" i="1"/>
  <c r="M4976" i="1"/>
  <c r="M4992" i="1" s="1"/>
  <c r="M4994" i="1" s="1"/>
  <c r="E4910" i="1"/>
  <c r="E4998" i="1"/>
  <c r="G4890" i="1" s="1"/>
  <c r="G5099" i="1"/>
  <c r="C5512" i="1"/>
  <c r="E5120" i="1" s="1"/>
  <c r="G4621" i="1"/>
  <c r="G4856" i="1" s="1"/>
  <c r="I4826" i="1"/>
  <c r="I4854" i="1" s="1"/>
  <c r="I4856" i="1" s="1"/>
  <c r="C4994" i="1"/>
  <c r="C4910" i="1"/>
  <c r="G4994" i="1"/>
  <c r="Q4965" i="1"/>
  <c r="K5099" i="1"/>
  <c r="Q3619" i="1"/>
  <c r="Q4291" i="1"/>
  <c r="Q4304" i="1" s="1"/>
  <c r="Q4415" i="1"/>
  <c r="E4502" i="1"/>
  <c r="E4527" i="1" s="1"/>
  <c r="E4529" i="1" s="1"/>
  <c r="Q4472" i="1"/>
  <c r="Q4494" i="1"/>
  <c r="Q4613" i="1"/>
  <c r="M4738" i="1"/>
  <c r="M4854" i="1" s="1"/>
  <c r="M4856" i="1" s="1"/>
  <c r="Q5073" i="1"/>
  <c r="Q5080" i="1" s="1"/>
  <c r="Q5097" i="1" s="1"/>
  <c r="C5103" i="1"/>
  <c r="E5020" i="1" s="1"/>
  <c r="Q5278" i="1"/>
  <c r="Q5284" i="1" s="1"/>
  <c r="K5660" i="1"/>
  <c r="K4435" i="1"/>
  <c r="K4621" i="1"/>
  <c r="K4856" i="1" s="1"/>
  <c r="Q4736" i="1"/>
  <c r="Q5175" i="1"/>
  <c r="Q5190" i="1" s="1"/>
  <c r="E5508" i="1"/>
  <c r="M5506" i="1"/>
  <c r="Q5373" i="1"/>
  <c r="Q4681" i="1"/>
  <c r="E5034" i="1"/>
  <c r="E5099" i="1" s="1"/>
  <c r="Q5214" i="1"/>
  <c r="I5582" i="1"/>
  <c r="I5660" i="1" s="1"/>
  <c r="Q5632" i="1"/>
  <c r="E5642" i="1"/>
  <c r="E5658" i="1" s="1"/>
  <c r="E5660" i="1" s="1"/>
  <c r="M5765" i="1"/>
  <c r="C5927" i="1"/>
  <c r="E5829" i="1" s="1"/>
  <c r="C5923" i="1"/>
  <c r="C5851" i="1"/>
  <c r="O5923" i="1"/>
  <c r="C6133" i="1"/>
  <c r="E5987" i="1" s="1"/>
  <c r="C6008" i="1"/>
  <c r="C6129" i="1"/>
  <c r="O6129" i="1"/>
  <c r="C6307" i="1"/>
  <c r="E6168" i="1" s="1"/>
  <c r="O5508" i="1"/>
  <c r="G5486" i="1"/>
  <c r="E6303" i="1"/>
  <c r="Q5034" i="1"/>
  <c r="Q5443" i="1"/>
  <c r="Q5445" i="1" s="1"/>
  <c r="Q5476" i="1"/>
  <c r="Q5486" i="1" s="1"/>
  <c r="M5660" i="1"/>
  <c r="Q5636" i="1"/>
  <c r="Q4946" i="1"/>
  <c r="C5508" i="1"/>
  <c r="K5642" i="1"/>
  <c r="K5658" i="1" s="1"/>
  <c r="C5769" i="1"/>
  <c r="E5695" i="1" s="1"/>
  <c r="C5710" i="1"/>
  <c r="G5707" i="1"/>
  <c r="G5765" i="1" s="1"/>
  <c r="C5193" i="1"/>
  <c r="K5373" i="1"/>
  <c r="K5506" i="1" s="1"/>
  <c r="K5508" i="1" s="1"/>
  <c r="I5765" i="1"/>
  <c r="Q5848" i="1"/>
  <c r="Q5923" i="1" s="1"/>
  <c r="Q5905" i="1"/>
  <c r="Q5921" i="1" s="1"/>
  <c r="K6129" i="1"/>
  <c r="M6303" i="1"/>
  <c r="Q5620" i="1"/>
  <c r="Q5701" i="1"/>
  <c r="Q5707" i="1" s="1"/>
  <c r="Q5765" i="1" s="1"/>
  <c r="Q6003" i="1"/>
  <c r="Q6005" i="1" s="1"/>
  <c r="Q6069" i="1"/>
  <c r="Q6081" i="1"/>
  <c r="Q6243" i="1"/>
  <c r="Q6255" i="1"/>
  <c r="Q6184" i="1"/>
  <c r="Q6186" i="1" s="1"/>
  <c r="C6303" i="1"/>
  <c r="C2326" i="1" l="1"/>
  <c r="E11" i="1" s="1"/>
  <c r="C2323" i="1"/>
  <c r="Q4527" i="1"/>
  <c r="Q4529" i="1" s="1"/>
  <c r="Q2940" i="1"/>
  <c r="Q2942" i="1" s="1"/>
  <c r="Q3716" i="1"/>
  <c r="O2942" i="1"/>
  <c r="K3718" i="1"/>
  <c r="Q5506" i="1"/>
  <c r="Q5508" i="1" s="1"/>
  <c r="C5664" i="1"/>
  <c r="E5563" i="1" s="1"/>
  <c r="C3716" i="1"/>
  <c r="C3722" i="1" s="1"/>
  <c r="E3004" i="1" s="1"/>
  <c r="I3716" i="1"/>
  <c r="I3718" i="1" s="1"/>
  <c r="Q2826" i="1"/>
  <c r="Q3854" i="1"/>
  <c r="Q2427" i="1"/>
  <c r="C2946" i="1"/>
  <c r="E2485" i="1" s="1"/>
  <c r="E2323" i="1"/>
  <c r="Q2154" i="1"/>
  <c r="Q4994" i="1"/>
  <c r="E6008" i="1"/>
  <c r="E6133" i="1"/>
  <c r="G5987" i="1" s="1"/>
  <c r="E5103" i="1"/>
  <c r="G5020" i="1" s="1"/>
  <c r="E5037" i="1"/>
  <c r="C3976" i="1"/>
  <c r="E3889" i="1" s="1"/>
  <c r="Q3079" i="1"/>
  <c r="K2323" i="1"/>
  <c r="E5710" i="1"/>
  <c r="E5769" i="1"/>
  <c r="G5695" i="1" s="1"/>
  <c r="Q6265" i="1"/>
  <c r="Q6301" i="1" s="1"/>
  <c r="Q6303" i="1" s="1"/>
  <c r="M5508" i="1"/>
  <c r="Q5642" i="1"/>
  <c r="Q5658" i="1" s="1"/>
  <c r="Q5660" i="1" s="1"/>
  <c r="Q4502" i="1"/>
  <c r="C4856" i="1"/>
  <c r="C4860" i="1"/>
  <c r="E4591" i="1" s="1"/>
  <c r="C4624" i="1"/>
  <c r="K2942" i="1"/>
  <c r="Q2210" i="1"/>
  <c r="Q2231" i="1" s="1"/>
  <c r="E5927" i="1"/>
  <c r="G5829" i="1" s="1"/>
  <c r="E5851" i="1"/>
  <c r="E5193" i="1"/>
  <c r="E5512" i="1"/>
  <c r="G5120" i="1" s="1"/>
  <c r="O3718" i="1"/>
  <c r="E4533" i="1"/>
  <c r="G4265" i="1" s="1"/>
  <c r="E4306" i="1"/>
  <c r="Q2320" i="1"/>
  <c r="Q2323" i="1" s="1"/>
  <c r="G2320" i="1"/>
  <c r="G2323" i="1" s="1"/>
  <c r="Q2087" i="1"/>
  <c r="G4910" i="1"/>
  <c r="G4998" i="1"/>
  <c r="I4890" i="1" s="1"/>
  <c r="E4207" i="1"/>
  <c r="G4008" i="1" s="1"/>
  <c r="E4041" i="1"/>
  <c r="E6307" i="1"/>
  <c r="G6168" i="1" s="1"/>
  <c r="E6189" i="1"/>
  <c r="Q6091" i="1"/>
  <c r="Q6127" i="1" s="1"/>
  <c r="Q6129" i="1" s="1"/>
  <c r="Q5099" i="1"/>
  <c r="Q4976" i="1"/>
  <c r="Q4992" i="1" s="1"/>
  <c r="Q4738" i="1"/>
  <c r="Q4854" i="1" s="1"/>
  <c r="Q4856" i="1" s="1"/>
  <c r="K4527" i="1"/>
  <c r="K4529" i="1" s="1"/>
  <c r="C3082" i="1"/>
  <c r="C3718" i="1"/>
  <c r="E3858" i="1"/>
  <c r="G3758" i="1" s="1"/>
  <c r="E3782" i="1"/>
  <c r="Q3653" i="1"/>
  <c r="E2320" i="1"/>
  <c r="E2366" i="1"/>
  <c r="E2431" i="1"/>
  <c r="G2348" i="1" s="1"/>
  <c r="Q1464" i="1"/>
  <c r="M2304" i="1"/>
  <c r="M2320" i="1" s="1"/>
  <c r="M2323" i="1" s="1"/>
  <c r="Q1257" i="1"/>
  <c r="E3082" i="1" l="1"/>
  <c r="E3722" i="1"/>
  <c r="G3004" i="1" s="1"/>
  <c r="E3976" i="1"/>
  <c r="G3889" i="1" s="1"/>
  <c r="E3908" i="1"/>
  <c r="E5585" i="1"/>
  <c r="E5664" i="1"/>
  <c r="G5563" i="1" s="1"/>
  <c r="E2326" i="1"/>
  <c r="G11" i="1" s="1"/>
  <c r="E360" i="1"/>
  <c r="E4860" i="1"/>
  <c r="E4624" i="1"/>
  <c r="G5710" i="1"/>
  <c r="G5769" i="1"/>
  <c r="I5695" i="1" s="1"/>
  <c r="G6307" i="1"/>
  <c r="I6168" i="1" s="1"/>
  <c r="G6189" i="1"/>
  <c r="G4306" i="1"/>
  <c r="G4533" i="1"/>
  <c r="I4265" i="1" s="1"/>
  <c r="G2431" i="1"/>
  <c r="I2348" i="1" s="1"/>
  <c r="G2366" i="1"/>
  <c r="G3858" i="1"/>
  <c r="I3758" i="1" s="1"/>
  <c r="G3782" i="1"/>
  <c r="G5851" i="1"/>
  <c r="G5927" i="1"/>
  <c r="I5829" i="1" s="1"/>
  <c r="G5103" i="1"/>
  <c r="I5020" i="1" s="1"/>
  <c r="G5037" i="1"/>
  <c r="G4207" i="1"/>
  <c r="I4008" i="1" s="1"/>
  <c r="G4041" i="1"/>
  <c r="G5193" i="1"/>
  <c r="G5512" i="1"/>
  <c r="I5120" i="1" s="1"/>
  <c r="G6133" i="1"/>
  <c r="I5987" i="1" s="1"/>
  <c r="G6008" i="1"/>
  <c r="E2946" i="1"/>
  <c r="G2485" i="1" s="1"/>
  <c r="E2543" i="1"/>
  <c r="Q3718" i="1"/>
  <c r="I4998" i="1"/>
  <c r="K4890" i="1"/>
  <c r="I4910" i="1"/>
  <c r="I5512" i="1" l="1"/>
  <c r="I5193" i="1"/>
  <c r="K5120" i="1"/>
  <c r="I5851" i="1"/>
  <c r="I5927" i="1"/>
  <c r="K5829" i="1"/>
  <c r="K4265" i="1"/>
  <c r="I4533" i="1"/>
  <c r="I4306" i="1"/>
  <c r="G4591" i="1"/>
  <c r="G3976" i="1"/>
  <c r="I3889" i="1" s="1"/>
  <c r="G3908" i="1"/>
  <c r="G3722" i="1"/>
  <c r="I3004" i="1" s="1"/>
  <c r="G3082" i="1"/>
  <c r="G2946" i="1"/>
  <c r="I2485" i="1" s="1"/>
  <c r="G2543" i="1"/>
  <c r="K4008" i="1"/>
  <c r="I4041" i="1"/>
  <c r="I4207" i="1"/>
  <c r="K3758" i="1"/>
  <c r="I3782" i="1"/>
  <c r="I3858" i="1"/>
  <c r="I6307" i="1"/>
  <c r="I6189" i="1"/>
  <c r="K6168" i="1"/>
  <c r="G2326" i="1"/>
  <c r="I11" i="1" s="1"/>
  <c r="G360" i="1"/>
  <c r="I5710" i="1"/>
  <c r="I5769" i="1"/>
  <c r="K5695" i="1"/>
  <c r="G5664" i="1"/>
  <c r="I5563" i="1" s="1"/>
  <c r="G5585" i="1"/>
  <c r="K4998" i="1"/>
  <c r="M4890" i="1" s="1"/>
  <c r="K4910" i="1"/>
  <c r="K5987" i="1"/>
  <c r="I6133" i="1"/>
  <c r="I6008" i="1"/>
  <c r="I5103" i="1"/>
  <c r="I5037" i="1"/>
  <c r="K5020" i="1"/>
  <c r="I2431" i="1"/>
  <c r="K2348" i="1"/>
  <c r="I2366" i="1"/>
  <c r="M4998" i="1" l="1"/>
  <c r="M4910" i="1"/>
  <c r="Q4890" i="1"/>
  <c r="I2946" i="1"/>
  <c r="I2543" i="1"/>
  <c r="K2485" i="1"/>
  <c r="I2326" i="1"/>
  <c r="I360" i="1"/>
  <c r="K11" i="1"/>
  <c r="K3782" i="1"/>
  <c r="K3858" i="1"/>
  <c r="M3758" i="1" s="1"/>
  <c r="K5512" i="1"/>
  <c r="M5120" i="1" s="1"/>
  <c r="K5193" i="1"/>
  <c r="I5664" i="1"/>
  <c r="K5563" i="1"/>
  <c r="I5585" i="1"/>
  <c r="K6307" i="1"/>
  <c r="M6168" i="1" s="1"/>
  <c r="K6189" i="1"/>
  <c r="I3082" i="1"/>
  <c r="K3004" i="1"/>
  <c r="I3722" i="1"/>
  <c r="K2431" i="1"/>
  <c r="M2348" i="1" s="1"/>
  <c r="K2366" i="1"/>
  <c r="K5769" i="1"/>
  <c r="M5695" i="1" s="1"/>
  <c r="K5710" i="1"/>
  <c r="K4533" i="1"/>
  <c r="M4265" i="1" s="1"/>
  <c r="K4306" i="1"/>
  <c r="K6133" i="1"/>
  <c r="M5987" i="1" s="1"/>
  <c r="K6008" i="1"/>
  <c r="K4041" i="1"/>
  <c r="K4207" i="1"/>
  <c r="M4008" i="1" s="1"/>
  <c r="I3908" i="1"/>
  <c r="K3889" i="1"/>
  <c r="I3976" i="1"/>
  <c r="K5851" i="1"/>
  <c r="K5927" i="1"/>
  <c r="M5829" i="1" s="1"/>
  <c r="K5103" i="1"/>
  <c r="M5020" i="1" s="1"/>
  <c r="K5037" i="1"/>
  <c r="G4860" i="1"/>
  <c r="I4591" i="1" s="1"/>
  <c r="G4624" i="1"/>
  <c r="M6307" i="1" l="1"/>
  <c r="M6189" i="1"/>
  <c r="Q6168" i="1"/>
  <c r="M3782" i="1"/>
  <c r="M3858" i="1"/>
  <c r="Q3758" i="1"/>
  <c r="M6133" i="1"/>
  <c r="M6008" i="1"/>
  <c r="Q5987" i="1"/>
  <c r="M2366" i="1"/>
  <c r="M2431" i="1"/>
  <c r="Q2348" i="1"/>
  <c r="I4860" i="1"/>
  <c r="I4624" i="1"/>
  <c r="K4591" i="1"/>
  <c r="K3908" i="1"/>
  <c r="K3976" i="1"/>
  <c r="M3889" i="1" s="1"/>
  <c r="K5664" i="1"/>
  <c r="M5563" i="1" s="1"/>
  <c r="K5585" i="1"/>
  <c r="K360" i="1"/>
  <c r="K2326" i="1"/>
  <c r="M11" i="1" s="1"/>
  <c r="Q4998" i="1"/>
  <c r="Q4910" i="1"/>
  <c r="M4533" i="1"/>
  <c r="M4306" i="1"/>
  <c r="Q4265" i="1"/>
  <c r="K3722" i="1"/>
  <c r="M3004" i="1" s="1"/>
  <c r="K3082" i="1"/>
  <c r="M5103" i="1"/>
  <c r="M5037" i="1"/>
  <c r="Q5020" i="1"/>
  <c r="M4041" i="1"/>
  <c r="M4207" i="1"/>
  <c r="Q4008" i="1"/>
  <c r="M5851" i="1"/>
  <c r="M5927" i="1"/>
  <c r="Q5829" i="1"/>
  <c r="M5769" i="1"/>
  <c r="M5710" i="1"/>
  <c r="Q5695" i="1"/>
  <c r="M5512" i="1"/>
  <c r="M5193" i="1"/>
  <c r="Q5120" i="1"/>
  <c r="K2946" i="1"/>
  <c r="M2485" i="1" s="1"/>
  <c r="K2543" i="1"/>
  <c r="M3976" i="1" l="1"/>
  <c r="Q3889" i="1"/>
  <c r="M3908" i="1"/>
  <c r="Q5769" i="1"/>
  <c r="Q5710" i="1"/>
  <c r="Q4041" i="1"/>
  <c r="Q4207" i="1"/>
  <c r="M3722" i="1"/>
  <c r="Q3004" i="1"/>
  <c r="M3082" i="1"/>
  <c r="M2326" i="1"/>
  <c r="Q11" i="1"/>
  <c r="M360" i="1"/>
  <c r="K4860" i="1"/>
  <c r="M4591" i="1" s="1"/>
  <c r="K4624" i="1"/>
  <c r="Q6133" i="1"/>
  <c r="Q6008" i="1"/>
  <c r="Q6307" i="1"/>
  <c r="Q6189" i="1"/>
  <c r="Q2485" i="1"/>
  <c r="M2543" i="1"/>
  <c r="M2946" i="1"/>
  <c r="Q4533" i="1"/>
  <c r="Q4306" i="1"/>
  <c r="Q5512" i="1"/>
  <c r="Q5193" i="1"/>
  <c r="Q5927" i="1"/>
  <c r="Q5851" i="1"/>
  <c r="Q5103" i="1"/>
  <c r="Q5037" i="1"/>
  <c r="M5664" i="1"/>
  <c r="Q5563" i="1"/>
  <c r="M5585" i="1"/>
  <c r="Q2431" i="1"/>
  <c r="Q2366" i="1"/>
  <c r="Q3782" i="1"/>
  <c r="Q3858" i="1"/>
  <c r="Q3082" i="1" l="1"/>
  <c r="Q3722" i="1"/>
  <c r="Q5664" i="1"/>
  <c r="Q5585" i="1"/>
  <c r="Q2543" i="1"/>
  <c r="Q2946" i="1"/>
  <c r="Q4591" i="1"/>
  <c r="M4860" i="1"/>
  <c r="M4624" i="1"/>
  <c r="Q3976" i="1"/>
  <c r="Q3908" i="1"/>
  <c r="Q360" i="1"/>
  <c r="Q2326" i="1"/>
  <c r="Q4860" i="1" l="1"/>
  <c r="Q46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kphillips</author>
    <author>Karyna Phillips</author>
  </authors>
  <commentList>
    <comment ref="A223" authorId="0" shapeId="0" xr:uid="{050A02EE-A7D2-43CE-B828-82EE20B47F94}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  <comment ref="K5875" authorId="1" shapeId="0" xr:uid="{E4ED500C-C990-4B51-AA9F-34F0114EA7CF}">
      <text>
        <r>
          <rPr>
            <b/>
            <sz val="9"/>
            <color indexed="81"/>
            <rFont val="Tahoma"/>
            <family val="2"/>
          </rPr>
          <t>Karyna Phillips:</t>
        </r>
        <r>
          <rPr>
            <sz val="9"/>
            <color indexed="81"/>
            <rFont val="Tahoma"/>
            <family val="2"/>
          </rPr>
          <t xml:space="preserve">
Not in incode - per Lisa
</t>
        </r>
      </text>
    </comment>
  </commentList>
</comments>
</file>

<file path=xl/sharedStrings.xml><?xml version="1.0" encoding="utf-8"?>
<sst xmlns="http://schemas.openxmlformats.org/spreadsheetml/2006/main" count="3690" uniqueCount="2246">
  <si>
    <t>CITY OF BRADY</t>
  </si>
  <si>
    <t>BUDGET REPORT</t>
  </si>
  <si>
    <t>FISCAL YEAR 2024 - 2025</t>
  </si>
  <si>
    <t>10 -GENERAL FUND</t>
  </si>
  <si>
    <t>(----- 2023-2024------)</t>
  </si>
  <si>
    <t>2024-2025</t>
  </si>
  <si>
    <t>2020-2021</t>
  </si>
  <si>
    <t>2021-2022</t>
  </si>
  <si>
    <t>2022-2023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</si>
  <si>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</si>
  <si>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</si>
  <si>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</si>
  <si>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</si>
  <si>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</si>
  <si>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</si>
  <si>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</si>
  <si>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</si>
  <si>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</si>
  <si>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</si>
  <si>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</si>
  <si>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</si>
  <si>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</si>
  <si>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</si>
  <si>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</si>
  <si>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</si>
  <si>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</si>
  <si>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</si>
  <si>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</si>
  <si>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</si>
  <si>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</si>
  <si>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</si>
  <si>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</si>
  <si>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</si>
  <si>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</si>
  <si>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</si>
  <si>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10-4-03-803.00 Credit Card  User Fees - PPM</t>
  </si>
  <si>
    <t>10-4-04-820.00 Council  - Filing fees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</si>
  <si>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</si>
  <si>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</si>
  <si>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</si>
  <si>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</si>
  <si>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</si>
  <si>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</si>
  <si>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</si>
  <si>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</si>
  <si>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</si>
  <si>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</si>
  <si>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</si>
  <si>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</si>
  <si>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County Subsidy Public Property</t>
  </si>
  <si>
    <t xml:space="preserve">10-4-07-622.00 County Subsidy  Fire </t>
  </si>
  <si>
    <t>10-4-08-622.00 County Subsidy Police</t>
  </si>
  <si>
    <t>10-4-09-622.00 County Subsidy EOC</t>
  </si>
  <si>
    <t>10-4-09-622.03 CARES Grant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</si>
  <si>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</si>
  <si>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</si>
  <si>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</si>
  <si>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</si>
  <si>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10-4-29-815.04 Ambulance Svc Supp Pay Program</t>
  </si>
  <si>
    <t>.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</si>
  <si>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</si>
  <si>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</si>
  <si>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</si>
  <si>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</si>
  <si>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10-4-01-815.01 EDC  Contribution Comm Services Admin</t>
  </si>
  <si>
    <t>10-4-13-815.01  EDC Contribution Civic Center</t>
  </si>
  <si>
    <t>10-4-44-815.01  EDC Contribution Financial Admin</t>
  </si>
  <si>
    <t>10-4-01-635.00 Closing payment from EDC A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</si>
  <si>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</si>
  <si>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</si>
  <si>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</si>
  <si>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</si>
  <si>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</si>
  <si>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</si>
  <si>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10-4-08-653.00 Child Safety Fee</t>
  </si>
  <si>
    <t>10-4-17-631.00  Municipal Jury Fees</t>
  </si>
  <si>
    <t>10-4-17-632.00 Municipal Ct. Fines/Fees</t>
  </si>
  <si>
    <t>10-4-17-632.01 Municipal Ct. Security Fund</t>
  </si>
  <si>
    <t>10-4-17-632.02 Municipal Ct. Technology Fund</t>
  </si>
  <si>
    <t>10-4-17-633.00 Municipal Court - Truancy Fee</t>
  </si>
  <si>
    <t>10-4-17-635.00 Collection Agency Fees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</si>
  <si>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</si>
  <si>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</si>
  <si>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</si>
  <si>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</si>
  <si>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</si>
  <si>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</si>
  <si>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</si>
  <si>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</si>
  <si>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</si>
  <si>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</si>
  <si>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</si>
  <si>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</si>
  <si>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</si>
  <si>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</si>
  <si>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</si>
  <si>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 xml:space="preserve">10-4-02-611.00 Hangar Rent </t>
  </si>
  <si>
    <t>10-4-02-611.01 Tee Hanger Rent</t>
  </si>
  <si>
    <t>10-4-02-614.00  Merchandise-Taxable</t>
  </si>
  <si>
    <t>10-4-02-618.00 Annual Land Lease</t>
  </si>
  <si>
    <t>10-4-02-640.00 Tie Down Fees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</si>
  <si>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</si>
  <si>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</si>
  <si>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</si>
  <si>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</si>
  <si>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</si>
  <si>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</si>
  <si>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</si>
  <si>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</si>
  <si>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</si>
  <si>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</si>
  <si>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</si>
  <si>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</si>
  <si>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</si>
  <si>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</si>
  <si>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</si>
  <si>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</si>
  <si>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</si>
  <si>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</si>
  <si>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</si>
  <si>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</si>
  <si>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</si>
  <si>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</si>
  <si>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</si>
  <si>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</si>
  <si>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</si>
  <si>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</si>
  <si>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</si>
  <si>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</si>
  <si>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</si>
  <si>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</si>
  <si>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</si>
  <si>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</si>
  <si>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</si>
  <si>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</si>
  <si>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</si>
  <si>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</si>
  <si>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</si>
  <si>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10-4-32-661.00  Axis Deer Program</t>
  </si>
  <si>
    <t>10-4-03-803.00 Credit Card  User Fees - Lake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</si>
  <si>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</si>
  <si>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</si>
  <si>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</si>
  <si>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</si>
  <si>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</si>
  <si>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10-4-01-613.00  Lease 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</si>
  <si>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</si>
  <si>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</si>
  <si>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</si>
  <si>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</si>
  <si>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</si>
  <si>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</si>
  <si>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</si>
  <si>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</si>
  <si>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</si>
  <si>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</si>
  <si>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</si>
  <si>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</si>
  <si>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</si>
  <si>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</si>
  <si>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</si>
  <si>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</si>
  <si>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</si>
  <si>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>10-4-17-635.00 Collection Agency</t>
  </si>
  <si>
    <t xml:space="preserve">10-4-45-648.01 Sales Concessions             </t>
  </si>
  <si>
    <t xml:space="preserve">10-4-12-691.00 Street Surcharge             </t>
  </si>
  <si>
    <t>10-4-01-621.00 THF Housing Development Cort</t>
  </si>
  <si>
    <t>10-4-01-660.00 Misc Revenue Admin</t>
  </si>
  <si>
    <t>10-4-29-660.00 Misc Revenue EMS</t>
  </si>
  <si>
    <t>10-4-45-660.00 Misc Revenue Code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</si>
  <si>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</si>
  <si>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</si>
  <si>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</si>
  <si>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</si>
  <si>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</si>
  <si>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</si>
  <si>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</si>
  <si>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</si>
  <si>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</si>
  <si>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</si>
  <si>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</si>
  <si>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</si>
  <si>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10-4-13-814.00 Donation(s) Civic Center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</si>
  <si>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</si>
  <si>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</si>
  <si>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</si>
  <si>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</si>
  <si>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</si>
  <si>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</si>
  <si>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</si>
  <si>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</si>
  <si>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</si>
  <si>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</si>
  <si>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</si>
  <si>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</si>
  <si>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</si>
  <si>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</si>
  <si>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</si>
  <si>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</si>
  <si>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</si>
  <si>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</si>
  <si>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</si>
  <si>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</si>
  <si>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</si>
  <si>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</si>
  <si>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</si>
  <si>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</si>
  <si>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</si>
  <si>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</si>
  <si>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Recov.Animal Control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</si>
  <si>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</si>
  <si>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</si>
  <si>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</si>
  <si>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</si>
  <si>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</si>
  <si>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</si>
  <si>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</si>
  <si>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</si>
  <si>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</si>
  <si>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</si>
  <si>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</si>
  <si>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</si>
  <si>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</si>
  <si>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</si>
  <si>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</si>
  <si>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</si>
  <si>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</si>
  <si>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</si>
  <si>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</si>
  <si>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</si>
  <si>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>10-4-32-806.00 Sale of Scrap Lake</t>
  </si>
  <si>
    <t>10-4-01-899.01  Sale of Land - Admin</t>
  </si>
  <si>
    <t>10-4-02-899.00 Sale of Fixed Assets- Airport</t>
  </si>
  <si>
    <t>10-4-03-899.00 Sale of Fixed Assets PPM</t>
  </si>
  <si>
    <t>10-4-05-899.00 Sale of Fixed Assets</t>
  </si>
  <si>
    <t>10-4-07-899.00 Sale of Fixed Assets - Fire</t>
  </si>
  <si>
    <t>10-4-08-899.00 Sale of Fixed Assets - Police</t>
  </si>
  <si>
    <t>10-4-12-899.00 Sale of Fixed Assets Street</t>
  </si>
  <si>
    <t>10-4-27-899.00 Sale of Fixed Assets - Animal Conrol</t>
  </si>
  <si>
    <t>10-4-29-899.00 Sale of Fixed Assets</t>
  </si>
  <si>
    <t>10-4-29-899.00 Sale of Fixed Assets EMS</t>
  </si>
  <si>
    <t xml:space="preserve">10-4-32-899.00 Sale of Fixed Assets Lake 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</si>
  <si>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</si>
  <si>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</si>
  <si>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</si>
  <si>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</si>
  <si>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</si>
  <si>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</si>
  <si>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</si>
  <si>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</si>
  <si>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</si>
  <si>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</si>
  <si>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</si>
  <si>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</si>
  <si>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</si>
  <si>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</si>
  <si>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</si>
  <si>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</si>
  <si>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</si>
  <si>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</si>
  <si>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</si>
  <si>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</si>
  <si>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</si>
  <si>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</si>
  <si>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</si>
  <si>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</si>
  <si>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</si>
  <si>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>10-4-01-910.80 Transfers-in from Special Revenue</t>
  </si>
  <si>
    <t>10-4-32-910.90 Transfers-in from EDC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</si>
  <si>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</si>
  <si>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</si>
  <si>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</si>
  <si>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</si>
  <si>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</si>
  <si>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</si>
  <si>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</si>
  <si>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</si>
  <si>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</si>
  <si>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</si>
  <si>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</si>
  <si>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</si>
  <si>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</si>
  <si>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</si>
  <si>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</si>
  <si>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</si>
  <si>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</si>
  <si>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</si>
  <si>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</si>
  <si>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</si>
  <si>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</si>
  <si>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</si>
  <si>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</si>
  <si>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</si>
  <si>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</si>
  <si>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</si>
  <si>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</si>
  <si>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</si>
  <si>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</si>
  <si>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</si>
  <si>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</si>
  <si>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</si>
  <si>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</si>
  <si>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</si>
  <si>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10-5-01-235.00 380 Agreement pmt to EDC-B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</si>
  <si>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</si>
  <si>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</si>
  <si>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</si>
  <si>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</si>
  <si>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</si>
  <si>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</si>
  <si>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</si>
  <si>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</si>
  <si>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</si>
  <si>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</si>
  <si>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</si>
  <si>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</si>
  <si>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</si>
  <si>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</si>
  <si>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</si>
  <si>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10-5-01-314.01 Drug Testing Program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</si>
  <si>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</si>
  <si>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</si>
  <si>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</si>
  <si>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</si>
  <si>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</si>
  <si>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</si>
  <si>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</si>
  <si>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</si>
  <si>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</si>
  <si>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</si>
  <si>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</si>
  <si>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</si>
  <si>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</si>
  <si>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10-5-01-910.11 Transfers-out to Gen Construction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</si>
  <si>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</si>
  <si>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</si>
  <si>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</si>
  <si>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</si>
  <si>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</si>
  <si>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</si>
  <si>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</si>
  <si>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</si>
  <si>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</si>
  <si>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</si>
  <si>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</si>
  <si>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</si>
  <si>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</si>
  <si>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</si>
  <si>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</si>
  <si>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</si>
  <si>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</si>
  <si>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</si>
  <si>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</si>
  <si>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</si>
  <si>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</si>
  <si>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</si>
  <si>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</si>
  <si>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</si>
  <si>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</si>
  <si>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</si>
  <si>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</si>
  <si>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</si>
  <si>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</si>
  <si>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</si>
  <si>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</si>
  <si>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</si>
  <si>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</si>
  <si>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</si>
  <si>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</si>
  <si>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</si>
  <si>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</si>
  <si>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</si>
  <si>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</si>
  <si>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</si>
  <si>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</si>
  <si>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</si>
  <si>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</si>
  <si>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</si>
  <si>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</si>
  <si>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</si>
  <si>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</si>
  <si>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</si>
  <si>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</si>
  <si>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</si>
  <si>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</si>
  <si>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</si>
  <si>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</si>
  <si>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</si>
  <si>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</si>
  <si>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</si>
  <si>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</si>
  <si>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</si>
  <si>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</si>
  <si>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</si>
  <si>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</si>
  <si>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10-5-03-106.00 Stand-by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</si>
  <si>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</si>
  <si>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</si>
  <si>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</si>
  <si>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</si>
  <si>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</si>
  <si>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</si>
  <si>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</si>
  <si>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</si>
  <si>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</si>
  <si>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</si>
  <si>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</si>
  <si>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</si>
  <si>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</si>
  <si>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10-5-03-230.00  Facility Deposit Refunds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</si>
  <si>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</si>
  <si>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</si>
  <si>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</si>
  <si>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</si>
  <si>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</si>
  <si>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</si>
  <si>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</si>
  <si>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</si>
  <si>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</si>
  <si>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</si>
  <si>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</si>
  <si>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</si>
  <si>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</si>
  <si>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</si>
  <si>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</si>
  <si>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</si>
  <si>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</si>
  <si>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10-5-03-319.00 Credit Card Fees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</si>
  <si>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</si>
  <si>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</si>
  <si>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</si>
  <si>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</si>
  <si>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</si>
  <si>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</si>
  <si>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</si>
  <si>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</si>
  <si>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</si>
  <si>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</si>
  <si>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</si>
  <si>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</si>
  <si>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</si>
  <si>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</si>
  <si>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</si>
  <si>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</si>
  <si>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</si>
  <si>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</si>
  <si>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</si>
  <si>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</si>
  <si>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10-5-04-232.00  Computer Software Maint</t>
  </si>
  <si>
    <t>10-5-04-233.00 Computer Hardware Maint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</si>
  <si>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</si>
  <si>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</si>
  <si>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</si>
  <si>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</si>
  <si>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</si>
  <si>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</si>
  <si>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</si>
  <si>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10-5-04-401.00 Capital Outlay Projects</t>
  </si>
  <si>
    <t>10-5-04-402.00 Capital Outlay  Vehicles &amp; Equip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</si>
  <si>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</si>
  <si>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</si>
  <si>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</si>
  <si>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</si>
  <si>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</si>
  <si>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</si>
  <si>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</si>
  <si>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</si>
  <si>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</si>
  <si>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</si>
  <si>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</si>
  <si>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</si>
  <si>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</si>
  <si>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</si>
  <si>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</si>
  <si>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</si>
  <si>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</si>
  <si>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</si>
  <si>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</si>
  <si>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</si>
  <si>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</si>
  <si>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</si>
  <si>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</si>
  <si>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</si>
  <si>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</si>
  <si>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</si>
  <si>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</si>
  <si>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</si>
  <si>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</si>
  <si>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</si>
  <si>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</si>
  <si>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</si>
  <si>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</si>
  <si>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</si>
  <si>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</si>
  <si>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</si>
  <si>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</si>
  <si>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</si>
  <si>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</si>
  <si>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</si>
  <si>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</si>
  <si>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</si>
  <si>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</si>
  <si>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10-5-05-317.00  Uniform &amp; Accessories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</si>
  <si>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</si>
  <si>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</si>
  <si>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</si>
  <si>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</si>
  <si>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</si>
  <si>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</si>
  <si>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</si>
  <si>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</si>
  <si>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</si>
  <si>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</si>
  <si>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</si>
  <si>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</si>
  <si>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</si>
  <si>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</si>
  <si>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</si>
  <si>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</si>
  <si>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</si>
  <si>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</si>
  <si>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</si>
  <si>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</si>
  <si>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</si>
  <si>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</si>
  <si>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</si>
  <si>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</si>
  <si>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</si>
  <si>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</si>
  <si>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</si>
  <si>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</si>
  <si>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</si>
  <si>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</si>
  <si>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</si>
  <si>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</si>
  <si>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</si>
  <si>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</si>
  <si>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</si>
  <si>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</si>
  <si>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</si>
  <si>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</si>
  <si>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</si>
  <si>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</si>
  <si>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</si>
  <si>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</si>
  <si>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</si>
  <si>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</si>
  <si>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</si>
  <si>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</si>
  <si>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</si>
  <si>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</si>
  <si>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</si>
  <si>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</si>
  <si>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</si>
  <si>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</si>
  <si>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</si>
  <si>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</si>
  <si>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</si>
  <si>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</si>
  <si>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</si>
  <si>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</si>
  <si>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</si>
  <si>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</si>
  <si>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</si>
  <si>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</si>
  <si>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</si>
  <si>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</si>
  <si>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</si>
  <si>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</si>
  <si>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</si>
  <si>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</si>
  <si>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</si>
  <si>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</si>
  <si>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</si>
  <si>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</si>
  <si>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</si>
  <si>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</si>
  <si>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</si>
  <si>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</si>
  <si>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</si>
  <si>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</si>
  <si>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</si>
  <si>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</si>
  <si>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</si>
  <si>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</si>
  <si>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</si>
  <si>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</si>
  <si>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</si>
  <si>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</si>
  <si>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</si>
  <si>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</si>
  <si>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</si>
  <si>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</si>
  <si>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</si>
  <si>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</si>
  <si>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</si>
  <si>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</si>
  <si>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</si>
  <si>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</si>
  <si>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</si>
  <si>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</si>
  <si>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</si>
  <si>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</si>
  <si>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</si>
  <si>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</si>
  <si>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</si>
  <si>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</si>
  <si>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</si>
  <si>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</si>
  <si>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</si>
  <si>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</si>
  <si>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</si>
  <si>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</si>
  <si>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</si>
  <si>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</si>
  <si>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</si>
  <si>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</si>
  <si>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</si>
  <si>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</si>
  <si>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</si>
  <si>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</si>
  <si>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</si>
  <si>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</si>
  <si>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</si>
  <si>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</si>
  <si>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</si>
  <si>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</si>
  <si>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</si>
  <si>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</si>
  <si>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</si>
  <si>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</si>
  <si>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</si>
  <si>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</si>
  <si>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</si>
  <si>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</si>
  <si>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</si>
  <si>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</si>
  <si>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</si>
  <si>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</si>
  <si>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</si>
  <si>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</si>
  <si>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</si>
  <si>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</si>
  <si>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</si>
  <si>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</si>
  <si>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</si>
  <si>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</si>
  <si>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</si>
  <si>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</si>
  <si>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</si>
  <si>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</si>
  <si>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</si>
  <si>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</si>
  <si>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</si>
  <si>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</si>
  <si>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</si>
  <si>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</si>
  <si>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</si>
  <si>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</si>
  <si>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</si>
  <si>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</si>
  <si>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</si>
  <si>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</si>
  <si>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10-5-09-311.00  COVID-19 Event</t>
  </si>
  <si>
    <t>10-5-09-312.00 Generator Maintenance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</si>
  <si>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</si>
  <si>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</si>
  <si>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</si>
  <si>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</si>
  <si>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</si>
  <si>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</si>
  <si>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</si>
  <si>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</si>
  <si>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</si>
  <si>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(HISTORY ONLY)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</si>
  <si>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</si>
  <si>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</si>
  <si>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</si>
  <si>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</si>
  <si>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</si>
  <si>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</si>
  <si>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</si>
  <si>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</si>
  <si>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</si>
  <si>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</si>
  <si>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</si>
  <si>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</si>
  <si>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</si>
  <si>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</si>
  <si>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</si>
  <si>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</si>
  <si>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</si>
  <si>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</si>
  <si>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</si>
  <si>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</si>
  <si>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</si>
  <si>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</si>
  <si>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</si>
  <si>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</si>
  <si>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</si>
  <si>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</si>
  <si>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</si>
  <si>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</si>
  <si>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</si>
  <si>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</si>
  <si>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</si>
  <si>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</si>
  <si>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</si>
  <si>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</si>
  <si>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Marketing &amp; Graphic Design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</si>
  <si>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</si>
  <si>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</si>
  <si>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</si>
  <si>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</si>
  <si>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</si>
  <si>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</si>
  <si>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</si>
  <si>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</si>
  <si>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</si>
  <si>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</si>
  <si>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</si>
  <si>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</si>
  <si>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</si>
  <si>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</si>
  <si>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</si>
  <si>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</si>
  <si>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</si>
  <si>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</si>
  <si>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</si>
  <si>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</si>
  <si>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</si>
  <si>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</si>
  <si>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</si>
  <si>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</si>
  <si>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</si>
  <si>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</si>
  <si>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</si>
  <si>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</si>
  <si>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</si>
  <si>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</si>
  <si>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</si>
  <si>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</si>
  <si>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</si>
  <si>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</si>
  <si>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</si>
  <si>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</si>
  <si>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</si>
  <si>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</si>
  <si>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</si>
  <si>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</si>
  <si>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</si>
  <si>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</si>
  <si>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</si>
  <si>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</si>
  <si>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</si>
  <si>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</si>
  <si>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</si>
  <si>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</si>
  <si>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</si>
  <si>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</si>
  <si>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</si>
  <si>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</si>
  <si>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</si>
  <si>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</si>
  <si>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</si>
  <si>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</si>
  <si>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</si>
  <si>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</si>
  <si>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10-5-13-101.00 Regular Pay</t>
  </si>
  <si>
    <t>10-5-13-102.00 Overtime Pay</t>
  </si>
  <si>
    <t>10-5-13-103.00 Certification Pay</t>
  </si>
  <si>
    <t>10-5-13-106.00  Stand-by Pay</t>
  </si>
  <si>
    <t>10-5-13-107.00  Car Allowance</t>
  </si>
  <si>
    <t>10-5-13-110.00 Hospital Insurance</t>
  </si>
  <si>
    <t>10-5-13-111.00 Municipal Retirement</t>
  </si>
  <si>
    <t>10-5-13-112.00 Worker's Comp Insurance</t>
  </si>
  <si>
    <t>10-5-13-113.00 Unemployment Insurance</t>
  </si>
  <si>
    <t>10-5-13-114.00 Payroll Taxes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</si>
  <si>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</si>
  <si>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</si>
  <si>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</si>
  <si>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</si>
  <si>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</si>
  <si>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</si>
  <si>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</si>
  <si>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</si>
  <si>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</si>
  <si>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</si>
  <si>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</si>
  <si>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</si>
  <si>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</si>
  <si>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</si>
  <si>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</si>
  <si>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</si>
  <si>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</si>
  <si>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</si>
  <si>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</si>
  <si>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</si>
  <si>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</si>
  <si>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</si>
  <si>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</si>
  <si>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</si>
  <si>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</si>
  <si>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</si>
  <si>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</si>
  <si>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</si>
  <si>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</si>
  <si>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</si>
  <si>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</si>
  <si>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</si>
  <si>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</si>
  <si>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</si>
  <si>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</si>
  <si>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</si>
  <si>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</si>
  <si>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</si>
  <si>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</si>
  <si>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</si>
  <si>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</si>
  <si>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</si>
  <si>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</si>
  <si>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</si>
  <si>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</si>
  <si>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</si>
  <si>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</si>
  <si>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</si>
  <si>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</si>
  <si>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</si>
  <si>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</si>
  <si>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</si>
  <si>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</si>
  <si>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</si>
  <si>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</si>
  <si>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</si>
  <si>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</si>
  <si>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</si>
  <si>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</si>
  <si>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</si>
  <si>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</si>
  <si>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</si>
  <si>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</si>
  <si>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</si>
  <si>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</si>
  <si>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</si>
  <si>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</si>
  <si>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</si>
  <si>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</si>
  <si>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</si>
  <si>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</si>
  <si>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</si>
  <si>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</si>
  <si>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</si>
  <si>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</si>
  <si>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</si>
  <si>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</si>
  <si>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</si>
  <si>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</si>
  <si>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</si>
  <si>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</si>
  <si>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</si>
  <si>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10-5-24-232.00 Computer Software Maint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</si>
  <si>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</si>
  <si>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</si>
  <si>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</si>
  <si>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</si>
  <si>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</si>
  <si>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</si>
  <si>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</si>
  <si>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</si>
  <si>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</si>
  <si>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</si>
  <si>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</si>
  <si>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</si>
  <si>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</si>
  <si>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</si>
  <si>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</si>
  <si>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</si>
  <si>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</si>
  <si>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</si>
  <si>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</si>
  <si>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</si>
  <si>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</si>
  <si>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</si>
  <si>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10-5-27-106.00  Stand-by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</si>
  <si>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</si>
  <si>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</si>
  <si>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</si>
  <si>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</si>
  <si>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</si>
  <si>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</si>
  <si>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</si>
  <si>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</si>
  <si>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</si>
  <si>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</si>
  <si>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</si>
  <si>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</si>
  <si>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</si>
  <si>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</si>
  <si>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</si>
  <si>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</si>
  <si>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</si>
  <si>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</si>
  <si>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</si>
  <si>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</si>
  <si>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</si>
  <si>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</si>
  <si>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</si>
  <si>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</si>
  <si>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</si>
  <si>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</si>
  <si>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</si>
  <si>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</si>
  <si>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</si>
  <si>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</si>
  <si>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</si>
  <si>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10-5-27-392.00 Bad Debt Expense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</si>
  <si>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</si>
  <si>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</si>
  <si>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</si>
  <si>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</si>
  <si>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</si>
  <si>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</si>
  <si>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</si>
  <si>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</si>
  <si>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</si>
  <si>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</si>
  <si>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</si>
  <si>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</si>
  <si>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</si>
  <si>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</si>
  <si>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</si>
  <si>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</si>
  <si>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</si>
  <si>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</si>
  <si>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</si>
  <si>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</si>
  <si>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</si>
  <si>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</si>
  <si>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</si>
  <si>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</si>
  <si>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</si>
  <si>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</si>
  <si>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</si>
  <si>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</si>
  <si>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</si>
  <si>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</si>
  <si>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</si>
  <si>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</si>
  <si>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</si>
  <si>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</si>
  <si>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</si>
  <si>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</si>
  <si>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</si>
  <si>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</si>
  <si>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</si>
  <si>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</si>
  <si>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</si>
  <si>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</si>
  <si>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</si>
  <si>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</si>
  <si>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</si>
  <si>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</si>
  <si>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</si>
  <si>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</si>
  <si>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</si>
  <si>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</si>
  <si>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</si>
  <si>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</si>
  <si>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</si>
  <si>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</si>
  <si>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</si>
  <si>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</si>
  <si>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</si>
  <si>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</si>
  <si>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</si>
  <si>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</si>
  <si>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</si>
  <si>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</si>
  <si>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</si>
  <si>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</si>
  <si>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</si>
  <si>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</si>
  <si>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</si>
  <si>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</si>
  <si>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</si>
  <si>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</si>
  <si>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</si>
  <si>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</si>
  <si>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</si>
  <si>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</si>
  <si>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</si>
  <si>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</si>
  <si>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</si>
  <si>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</si>
  <si>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</si>
  <si>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</si>
  <si>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</si>
  <si>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</si>
  <si>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</si>
  <si>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</si>
  <si>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</si>
  <si>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</si>
  <si>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</si>
  <si>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</si>
  <si>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</si>
  <si>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</si>
  <si>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</si>
  <si>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</si>
  <si>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</si>
  <si>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</si>
  <si>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</si>
  <si>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</si>
  <si>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</si>
  <si>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</si>
  <si>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</si>
  <si>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</si>
  <si>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</si>
  <si>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</si>
  <si>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</si>
  <si>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</si>
  <si>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</si>
  <si>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</si>
  <si>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</si>
  <si>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</si>
  <si>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</si>
  <si>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</si>
  <si>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</si>
  <si>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</si>
  <si>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</si>
  <si>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</si>
  <si>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</si>
  <si>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</si>
  <si>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</si>
  <si>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</si>
  <si>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</si>
  <si>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</si>
  <si>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</si>
  <si>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</si>
  <si>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</si>
  <si>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</si>
  <si>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</si>
  <si>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</si>
  <si>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</si>
  <si>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</si>
  <si>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</si>
  <si>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</si>
  <si>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</si>
  <si>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</si>
  <si>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</si>
  <si>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</si>
  <si>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</si>
  <si>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</si>
  <si>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</si>
  <si>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</si>
  <si>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</si>
  <si>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</si>
  <si>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</si>
  <si>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</si>
  <si>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</si>
  <si>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</si>
  <si>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</si>
  <si>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</si>
  <si>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</si>
  <si>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</si>
  <si>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</si>
  <si>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</si>
  <si>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</si>
  <si>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</si>
  <si>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</si>
  <si>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</si>
  <si>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</si>
  <si>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</si>
  <si>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</si>
  <si>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</si>
  <si>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</si>
  <si>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</si>
  <si>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</si>
  <si>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</si>
  <si>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</si>
  <si>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</si>
  <si>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</si>
  <si>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</si>
  <si>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10-5-44-401.00 Capital Outlay-Projects</t>
  </si>
  <si>
    <t>10-5-44-402.00 Capital Outlay -Vehicles &amp; Equip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</si>
  <si>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</si>
  <si>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</si>
  <si>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</si>
  <si>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</si>
  <si>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</si>
  <si>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</si>
  <si>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</si>
  <si>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</si>
  <si>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</si>
  <si>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</si>
  <si>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</si>
  <si>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</si>
  <si>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</si>
  <si>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</si>
  <si>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</si>
  <si>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</si>
  <si>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</si>
  <si>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</si>
  <si>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</si>
  <si>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</si>
  <si>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</si>
  <si>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</si>
  <si>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</si>
  <si>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</si>
  <si>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</si>
  <si>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</si>
  <si>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</si>
  <si>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</si>
  <si>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</si>
  <si>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</si>
  <si>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</si>
  <si>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</si>
  <si>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</si>
  <si>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</si>
  <si>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</si>
  <si>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</si>
  <si>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</si>
  <si>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</si>
  <si>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</si>
  <si>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</si>
  <si>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</si>
  <si>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</si>
  <si>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11 - GENERAL CONSTRUCTION FUND</t>
  </si>
  <si>
    <t>Funding Sources</t>
  </si>
  <si>
    <t>11-4-28-680.00  CO 2021</t>
  </si>
  <si>
    <t>11-4-28-601.00  Property Tax</t>
  </si>
  <si>
    <t>TOTAL Funding Sources</t>
  </si>
  <si>
    <t>11-4-28-910.10 Transfers-in from General Fund</t>
  </si>
  <si>
    <t>28 -FIRE/EMS/POLICE CONSTUCTION  PROJECT</t>
  </si>
  <si>
    <t>11-5-28-398.00 Interest Expense</t>
  </si>
  <si>
    <t>11-5-28-400.00 New Fire/EMS Station</t>
  </si>
  <si>
    <t>11-5-28-401.00 New Police  Station</t>
  </si>
  <si>
    <t xml:space="preserve">80-5-47-910.00 Transfers-out </t>
  </si>
  <si>
    <t>TOTAL 11- FIRE/EMS/POLICE  CONSTRUCTION PROJECT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</si>
  <si>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</si>
  <si>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</si>
  <si>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</si>
  <si>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</si>
  <si>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</si>
  <si>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</si>
  <si>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</si>
  <si>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</si>
  <si>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</si>
  <si>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</si>
  <si>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</si>
  <si>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</si>
  <si>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</si>
  <si>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</si>
  <si>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</si>
  <si>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</si>
  <si>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</si>
  <si>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</si>
  <si>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</si>
  <si>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</si>
  <si>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</si>
  <si>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</si>
  <si>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</si>
  <si>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</si>
  <si>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</si>
  <si>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</si>
  <si>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</si>
  <si>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</si>
  <si>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</si>
  <si>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</si>
  <si>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</si>
  <si>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</si>
  <si>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</si>
  <si>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</si>
  <si>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</si>
  <si>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</si>
  <si>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</si>
  <si>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</si>
  <si>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</si>
  <si>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</si>
  <si>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</si>
  <si>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</si>
  <si>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</si>
  <si>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</si>
  <si>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</si>
  <si>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</si>
  <si>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</si>
  <si>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</si>
  <si>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</si>
  <si>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</si>
  <si>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</si>
  <si>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</si>
  <si>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</si>
  <si>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</si>
  <si>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</si>
  <si>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</si>
  <si>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</si>
  <si>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</si>
  <si>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</si>
  <si>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</si>
  <si>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</si>
  <si>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</si>
  <si>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</si>
  <si>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</si>
  <si>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</si>
  <si>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20-5-22-502.01  Refund Trsf Fee to Other Util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</si>
  <si>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</si>
  <si>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</si>
  <si>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</si>
  <si>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</si>
  <si>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</si>
  <si>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</si>
  <si>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</si>
  <si>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</si>
  <si>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</si>
  <si>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</si>
  <si>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</si>
  <si>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</si>
  <si>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</si>
  <si>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</si>
  <si>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</si>
  <si>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</si>
  <si>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</si>
  <si>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</si>
  <si>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</si>
  <si>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</si>
  <si>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</si>
  <si>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</si>
  <si>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</si>
  <si>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</si>
  <si>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</si>
  <si>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</si>
  <si>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</si>
  <si>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</si>
  <si>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</si>
  <si>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</si>
  <si>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</si>
  <si>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</si>
  <si>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</si>
  <si>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20-5-22-404.00 Hwy 377N Utility Lines - TXDOT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</si>
  <si>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</si>
  <si>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</si>
  <si>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</si>
  <si>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</si>
  <si>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</si>
  <si>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</si>
  <si>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</si>
  <si>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</si>
  <si>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</si>
  <si>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</si>
  <si>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</si>
  <si>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</si>
  <si>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</si>
  <si>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</si>
  <si>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</si>
  <si>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</si>
  <si>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</si>
  <si>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</si>
  <si>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</si>
  <si>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</si>
  <si>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</si>
  <si>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</si>
  <si>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</si>
  <si>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</si>
  <si>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</si>
  <si>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</si>
  <si>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</si>
  <si>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</si>
  <si>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</si>
  <si>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</si>
  <si>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</si>
  <si>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</si>
  <si>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</si>
  <si>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</si>
  <si>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</si>
  <si>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</si>
  <si>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</si>
  <si>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</si>
  <si>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</si>
  <si>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</si>
  <si>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</si>
  <si>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</si>
  <si>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</si>
  <si>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</si>
  <si>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</si>
  <si>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</si>
  <si>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</si>
  <si>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</si>
  <si>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</si>
  <si>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</si>
  <si>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</si>
  <si>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</si>
  <si>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</si>
  <si>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</si>
  <si>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</si>
  <si>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</si>
  <si>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</si>
  <si>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</si>
  <si>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</si>
  <si>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</si>
  <si>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</si>
  <si>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</si>
  <si>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</si>
  <si>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</si>
  <si>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</si>
  <si>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</si>
  <si>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</si>
  <si>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</si>
  <si>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</si>
  <si>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</si>
  <si>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</si>
  <si>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</si>
  <si>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</si>
  <si>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</si>
  <si>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</si>
  <si>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</si>
  <si>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</si>
  <si>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>30-4-23-899.00 Sale of Fixed Assets</t>
  </si>
  <si>
    <t>Sewer Long-Term Capital  Projects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</si>
  <si>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</si>
  <si>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</si>
  <si>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</si>
  <si>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</si>
  <si>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</si>
  <si>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</si>
  <si>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</si>
  <si>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</si>
  <si>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</si>
  <si>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</si>
  <si>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</si>
  <si>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</si>
  <si>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</si>
  <si>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</si>
  <si>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</si>
  <si>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</si>
  <si>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</si>
  <si>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</si>
  <si>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</si>
  <si>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</si>
  <si>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</si>
  <si>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 Projects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</si>
  <si>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</si>
  <si>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</si>
  <si>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</si>
  <si>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</si>
  <si>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</si>
  <si>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</si>
  <si>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</si>
  <si>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</si>
  <si>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</si>
  <si>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</si>
  <si>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</si>
  <si>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30-4-35-900.00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</si>
  <si>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</si>
  <si>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</si>
  <si>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</si>
  <si>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</si>
  <si>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</si>
  <si>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</si>
  <si>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30-5-23-107.00  Car Allowance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</si>
  <si>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</si>
  <si>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</si>
  <si>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</si>
  <si>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</si>
  <si>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</si>
  <si>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</si>
  <si>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</si>
  <si>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</si>
  <si>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</si>
  <si>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</si>
  <si>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</si>
  <si>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</si>
  <si>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</si>
  <si>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</si>
  <si>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</si>
  <si>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</si>
  <si>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</si>
  <si>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</si>
  <si>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</si>
  <si>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</si>
  <si>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</si>
  <si>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</si>
  <si>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</si>
  <si>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</si>
  <si>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</si>
  <si>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</si>
  <si>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</si>
  <si>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</si>
  <si>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</si>
  <si>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</si>
  <si>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</si>
  <si>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</si>
  <si>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</si>
  <si>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</si>
  <si>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</si>
  <si>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</si>
  <si>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</si>
  <si>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</si>
  <si>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</si>
  <si>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</si>
  <si>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</si>
  <si>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</si>
  <si>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>30-5-23-910.35 Transfers-out  WWTP Const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</si>
  <si>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</si>
  <si>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</si>
  <si>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</si>
  <si>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</si>
  <si>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</si>
  <si>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</si>
  <si>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</si>
  <si>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</si>
  <si>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</si>
  <si>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</si>
  <si>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</si>
  <si>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</si>
  <si>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</si>
  <si>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</si>
  <si>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</si>
  <si>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</si>
  <si>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</si>
  <si>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</si>
  <si>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</si>
  <si>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</si>
  <si>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</si>
  <si>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</si>
  <si>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</si>
  <si>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</si>
  <si>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</si>
  <si>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</si>
  <si>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</si>
  <si>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</si>
  <si>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</si>
  <si>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</si>
  <si>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DISTRIBUTION/ COLLECTION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</si>
  <si>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</si>
  <si>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</si>
  <si>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</si>
  <si>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</si>
  <si>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</si>
  <si>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</si>
  <si>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</si>
  <si>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</si>
  <si>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</si>
  <si>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</si>
  <si>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</si>
  <si>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</si>
  <si>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</si>
  <si>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</si>
  <si>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</si>
  <si>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</si>
  <si>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</si>
  <si>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</si>
  <si>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30-5-31-211.00  Radium Removal</t>
  </si>
  <si>
    <t>30-5-31-212.00 Rentals /Leases</t>
  </si>
  <si>
    <t>30-5-31-213.00 Contract Labor</t>
  </si>
  <si>
    <t>30-5-31-214.00 Internet Access Fee</t>
  </si>
  <si>
    <t>30-5-31-217.00 Annual Land Lease - Airport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</si>
  <si>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</si>
  <si>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</si>
  <si>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</si>
  <si>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</si>
  <si>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</si>
  <si>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</si>
  <si>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</si>
  <si>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</si>
  <si>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</si>
  <si>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</si>
  <si>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</si>
  <si>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</si>
  <si>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</si>
  <si>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</si>
  <si>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</si>
  <si>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</si>
  <si>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</si>
  <si>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</si>
  <si>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30-5-31-311.00 Pump Stations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</si>
  <si>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</si>
  <si>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</si>
  <si>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</si>
  <si>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</si>
  <si>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</si>
  <si>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</si>
  <si>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</si>
  <si>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30-5-31-392.00 Bad Debt Expense</t>
  </si>
  <si>
    <t>30-5-31-398.00 Interest Expense</t>
  </si>
  <si>
    <t>31-WATER / WASTE WATER DISTRIBUTION/ COLLECTON</t>
  </si>
  <si>
    <t>30-5-31-401.00 Capital Outlay-Projects</t>
  </si>
  <si>
    <t>30-5-31-402.00 Capital Outlay-Vechicles &amp; Equip</t>
  </si>
  <si>
    <t>30-5-31-404.00 Hwy 377N Utility Lines - TXDOT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</si>
  <si>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</si>
  <si>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</si>
  <si>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</si>
  <si>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</si>
  <si>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</si>
  <si>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</si>
  <si>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</si>
  <si>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>30-5-31-910.10 Transfers-out to General Fund</t>
  </si>
  <si>
    <t>30-5-31-910.22 Transfers-out to Electric</t>
  </si>
  <si>
    <t>30-5-31-910.33 Transfers-out to DW Const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</si>
  <si>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</si>
  <si>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</si>
  <si>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</si>
  <si>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</si>
  <si>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</si>
  <si>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</si>
  <si>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</si>
  <si>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</si>
  <si>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</si>
  <si>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</si>
  <si>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</si>
  <si>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</si>
  <si>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35-GROUNDWATER TREATMENT PLANT OPERATION</t>
  </si>
  <si>
    <t>30-5-35-101.00 Regular Pay</t>
  </si>
  <si>
    <t>30-5-35-102.00 Overtime Pay</t>
  </si>
  <si>
    <t>30-5-35-103.00 Certification Pay</t>
  </si>
  <si>
    <t>30-5-35-106.00 Stand-by Pay</t>
  </si>
  <si>
    <t>30-5-35-107.00 Car Allowance</t>
  </si>
  <si>
    <t>30-5-35-110.00 Hospital Insurance</t>
  </si>
  <si>
    <t>30-5-35-111.00 Municipal Retirement</t>
  </si>
  <si>
    <t>30-5-35-112.00 Worker's Comp Insurance</t>
  </si>
  <si>
    <t>30-5-35-113.00 Unemployment Insurance</t>
  </si>
  <si>
    <t>30-5-35-114.00 Payroll Taxes</t>
  </si>
  <si>
    <t>30-5-35-201.00 Organ Dues/Fees</t>
  </si>
  <si>
    <t>30-5-35-202.00 Utilities</t>
  </si>
  <si>
    <t>30-5-35-203.00 Professional Fees</t>
  </si>
  <si>
    <t>30-5-35-203.01 Agency Fees</t>
  </si>
  <si>
    <t>30-5-35-204.00 Property/Liability Insurance</t>
  </si>
  <si>
    <t>30-5-35-207.00 Janitorial / Pest Services</t>
  </si>
  <si>
    <t>30-5-35-211.00  Radium Removal</t>
  </si>
  <si>
    <t>30-5-35-212.00 Rentals /Leases</t>
  </si>
  <si>
    <t>30-5-35-213.00 Contract Labor</t>
  </si>
  <si>
    <t>30-5-35-214.00 Internet Access Fee</t>
  </si>
  <si>
    <t>30-5-35-232.00 Computer Software Maint</t>
  </si>
  <si>
    <t>30-5-35-233.00 Computer Hardware Maint</t>
  </si>
  <si>
    <t>30-5-35-241.00 Bond Collection Fees</t>
  </si>
  <si>
    <t>30-5-35-250.00 Franchise Fees</t>
  </si>
  <si>
    <t>30-5-35-251.00 Administrative Fees</t>
  </si>
  <si>
    <t>30-5-35-301.00 Employee Expense</t>
  </si>
  <si>
    <t>30-5-35-301.02 Employee Training</t>
  </si>
  <si>
    <t>30-5-35-302.00 Supplies</t>
  </si>
  <si>
    <t>30-5-35-302.02 Meters</t>
  </si>
  <si>
    <t>30-5-35-303.00 Fuel</t>
  </si>
  <si>
    <t>30-5-35-304.00 Vehicles</t>
  </si>
  <si>
    <t>30-5-35-305.00 Communication Equip</t>
  </si>
  <si>
    <t>30-5-35-306.00 Buildings</t>
  </si>
  <si>
    <t>30-5-35-307.00 Office Equipment</t>
  </si>
  <si>
    <t>30-5-35-308.00 Heavy Rolling Stock</t>
  </si>
  <si>
    <t>30-5-35-309.00 Small Equipment</t>
  </si>
  <si>
    <t>30-5-35-310.00 Water Wells</t>
  </si>
  <si>
    <t>30-5-35-310.01  Pump &amp; Motor</t>
  </si>
  <si>
    <t>30-5-35-311.00 Pump Stations</t>
  </si>
  <si>
    <t>30-5-35-312.00 General</t>
  </si>
  <si>
    <t>30-5-35-313.00 Telephone/Cell/Alarm Sys</t>
  </si>
  <si>
    <t>30-5-35-314.00 Drug Testing</t>
  </si>
  <si>
    <t>30-5-35-316.00 Chemicals</t>
  </si>
  <si>
    <t>30-5-35-317.00 Uniforms and Accessories</t>
  </si>
  <si>
    <t>30-5-35-318.00 Laboratory-Testing</t>
  </si>
  <si>
    <t>30-5-33-392.00 Bad Debt Expense</t>
  </si>
  <si>
    <t>30-5-35-398.00 Interest Expense</t>
  </si>
  <si>
    <t>30-5-35-401.00 Capital Outlay-Projects</t>
  </si>
  <si>
    <t>30-5-35-402.00 Capital Outlay-Vechicles &amp; Equip</t>
  </si>
  <si>
    <t>30-5-35-551.00 Emergency Repairs</t>
  </si>
  <si>
    <t>30-5-35-900.00 Principal Debt Requirements</t>
  </si>
  <si>
    <t>30-5-35-901.00 Capital Outlay - Financed</t>
  </si>
  <si>
    <t>30-5-35-905.00 Administrative fee to General Fund</t>
  </si>
  <si>
    <t>30-5-35-910.22 Transfers-out to Electric</t>
  </si>
  <si>
    <t>30-5-35-910.33 Transfers-out to DW Const</t>
  </si>
  <si>
    <t>30-5-35-910.50 Transfers-out Utility Support</t>
  </si>
  <si>
    <t>TOTAL 35-GROUNDWATER TREATMENT PLANT OPERATION</t>
  </si>
  <si>
    <t>30 -WATER / SEWER UTILITY FUND</t>
  </si>
  <si>
    <t>33- WATER CONSTRUCTION FUND</t>
  </si>
  <si>
    <t>33-4-33-686.00 TWDB DW -L1000917-CO 2019</t>
  </si>
  <si>
    <t>33-4-33-686.01 TWDB DW  -LF 1000918-LF 2019</t>
  </si>
  <si>
    <t>33-4-33-687.00 TWDB DW - G 1000916-EDAP 2019</t>
  </si>
  <si>
    <t>33-4-33-689.00 TWDB DW - G 1001747-EDAP 2024</t>
  </si>
  <si>
    <t>33-4-33-689.01 TWDB DW - L1001746 -CO 2024</t>
  </si>
  <si>
    <t>33-4-33-690.00 TWDB DW - L1001777-CO 2024A</t>
  </si>
  <si>
    <t>33-4-33-690.01  TWDB DW - LF1001778-LF 2024A</t>
  </si>
  <si>
    <t>33-4-33-691.00 TWDB DW - L1001779 -CO 2024B</t>
  </si>
  <si>
    <t>33-4-33-691.01 TWDB DW - LF1001780 -LF 2024B</t>
  </si>
  <si>
    <t>33-4-33-910.30 Transfers-in from Water Fund</t>
  </si>
  <si>
    <t>33 - DW PROJECT</t>
  </si>
  <si>
    <t>33-5-33-286.00 TWDB DW -L1000917-CO 2019</t>
  </si>
  <si>
    <t>33-5-33-286.01 TWDB DW  -LF 1000918-LF 2019</t>
  </si>
  <si>
    <t>33-5-33-287.00 TWDB DW - G 1000916-EDAP 2019</t>
  </si>
  <si>
    <t>33-5-33-289.00 TWDB DW - G 1001747- EDAP 2024</t>
  </si>
  <si>
    <t>33-5-33-289.01 TWDB DW-L1001746 - CO 2024</t>
  </si>
  <si>
    <t>33-4-33-290.00 TWDB DW - L 1001777-CO 2024A</t>
  </si>
  <si>
    <t>33-4-33-290.01  TWDB DW - LF 1001778- LF 2024A</t>
  </si>
  <si>
    <t>33-4-33-291.00 TWDB DW - L 1001779-CO 2024B</t>
  </si>
  <si>
    <t>33-4-33-291.01 TWDB DW - LF 1001780-LF 2024B</t>
  </si>
  <si>
    <t>33-5-33-300.00  Arbitrage Rebate to IRS</t>
  </si>
  <si>
    <t>33-5-33-398.00 Interest Expense</t>
  </si>
  <si>
    <t>33-4-33-900.00 Principal Debt Requirements</t>
  </si>
  <si>
    <t>TOTAL 33- DW PROJECT</t>
  </si>
  <si>
    <t>35- WWTP CONSTRUCTION FUND</t>
  </si>
  <si>
    <t>35-4-25-685.00 TWDB  CW   L1001004   CO 2019A</t>
  </si>
  <si>
    <t>35-4-25-685.01  TWDB  CW   L1001005   CO 2019B</t>
  </si>
  <si>
    <t>35-4-25-685.02 TWDB  CW   LF1001006 LF2019</t>
  </si>
  <si>
    <t>35-4-25-688.00 TWDB  CW  L1001180 CO 2021</t>
  </si>
  <si>
    <t>35-4-25-910.35 Transfers-in from Water/Sewer Fund</t>
  </si>
  <si>
    <t>25 - CW PROJECT</t>
  </si>
  <si>
    <t>35-5-25-285.00  TWDB CW  L1001004  CO 2019A</t>
  </si>
  <si>
    <t>35-5-25-285.01   TWDB CW   L1001005   CO 2019B</t>
  </si>
  <si>
    <t>35-5-25-285.02  TWDB CW  LF1001006  LF2019</t>
  </si>
  <si>
    <t>35-5-25-288.00  TWDB CW  CO 2021</t>
  </si>
  <si>
    <t>35-5-25-290.00  Arbitrage Rebate due to IRS</t>
  </si>
  <si>
    <t>35-5-25-398.00 Interest Expense</t>
  </si>
  <si>
    <t>35-5-25-900.00 Principal Debt Requirement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</si>
  <si>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</si>
  <si>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</si>
  <si>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</si>
  <si>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</si>
  <si>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</si>
  <si>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</si>
  <si>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</si>
  <si>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</si>
  <si>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</si>
  <si>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</si>
  <si>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</si>
  <si>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</si>
  <si>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</si>
  <si>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</si>
  <si>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</si>
  <si>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</si>
  <si>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</si>
  <si>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</si>
  <si>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</si>
  <si>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</si>
  <si>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</si>
  <si>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</si>
  <si>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</si>
  <si>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</si>
  <si>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</si>
  <si>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</si>
  <si>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40-5-42-107.00 Car Allowance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</si>
  <si>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</si>
  <si>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</si>
  <si>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</si>
  <si>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</si>
  <si>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</si>
  <si>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</si>
  <si>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</si>
  <si>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</si>
  <si>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</si>
  <si>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</si>
  <si>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</si>
  <si>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</si>
  <si>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</si>
  <si>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</si>
  <si>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</si>
  <si>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</si>
  <si>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</si>
  <si>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</si>
  <si>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</si>
  <si>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</si>
  <si>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</si>
  <si>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</si>
  <si>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</si>
  <si>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</si>
  <si>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</si>
  <si>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</si>
  <si>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</si>
  <si>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</si>
  <si>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</si>
  <si>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</si>
  <si>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</si>
  <si>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</si>
  <si>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</si>
  <si>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</si>
  <si>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</si>
  <si>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</si>
  <si>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</si>
  <si>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</si>
  <si>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</si>
  <si>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</si>
  <si>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</si>
  <si>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</si>
  <si>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</si>
  <si>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40-5-42-404.00 Hwy 377N Utility Lines - TXDOT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</si>
  <si>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</si>
  <si>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</si>
  <si>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</si>
  <si>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</si>
  <si>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</si>
  <si>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</si>
  <si>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</si>
  <si>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</si>
  <si>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</si>
  <si>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</si>
  <si>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</si>
  <si>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</si>
  <si>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</si>
  <si>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</si>
  <si>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</si>
  <si>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</si>
  <si>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</si>
  <si>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</si>
  <si>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</si>
  <si>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</si>
  <si>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</si>
  <si>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</si>
  <si>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</si>
  <si>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</si>
  <si>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</si>
  <si>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</si>
  <si>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</si>
  <si>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</si>
  <si>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</si>
  <si>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</si>
  <si>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</si>
  <si>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</si>
  <si>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</si>
  <si>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</si>
  <si>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</si>
  <si>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</si>
  <si>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</si>
  <si>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</si>
  <si>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</si>
  <si>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</si>
  <si>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50-5-26-103.00 Certification  Pay</t>
  </si>
  <si>
    <t>50-5-26-110.00 Hospital Insurance</t>
  </si>
  <si>
    <t>50-5-26-113.00 Certification Pay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</si>
  <si>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</si>
  <si>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</si>
  <si>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</si>
  <si>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</si>
  <si>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</si>
  <si>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</si>
  <si>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</si>
  <si>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</si>
  <si>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</si>
  <si>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</si>
  <si>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</si>
  <si>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</si>
  <si>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</si>
  <si>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</si>
  <si>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</si>
  <si>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50-5-26-302.02  Meter Repairs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</si>
  <si>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</si>
  <si>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</si>
  <si>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</si>
  <si>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</si>
  <si>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</si>
  <si>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</si>
  <si>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</si>
  <si>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</si>
  <si>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</si>
  <si>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</si>
  <si>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</si>
  <si>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</si>
  <si>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</si>
  <si>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</si>
  <si>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</si>
  <si>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</si>
  <si>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</si>
  <si>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</si>
  <si>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</si>
  <si>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</si>
  <si>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</si>
  <si>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</si>
  <si>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</si>
  <si>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</si>
  <si>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</si>
  <si>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</si>
  <si>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</si>
  <si>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</si>
  <si>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</si>
  <si>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</si>
  <si>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</si>
  <si>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</si>
  <si>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</si>
  <si>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</si>
  <si>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</si>
  <si>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</si>
  <si>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</si>
  <si>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</si>
  <si>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</si>
  <si>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</si>
  <si>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</si>
  <si>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</si>
  <si>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</si>
  <si>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</si>
  <si>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</si>
  <si>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</si>
  <si>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</si>
  <si>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</si>
  <si>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</si>
  <si>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</si>
  <si>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</si>
  <si>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</si>
  <si>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</si>
  <si>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</si>
  <si>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</si>
  <si>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</si>
  <si>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</si>
  <si>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</si>
  <si>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</si>
  <si>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</si>
  <si>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</si>
  <si>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</si>
  <si>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</si>
  <si>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</si>
  <si>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</si>
  <si>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</si>
  <si>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</si>
  <si>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</si>
  <si>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</si>
  <si>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</si>
  <si>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</si>
  <si>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</si>
  <si>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</si>
  <si>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</si>
  <si>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</si>
  <si>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</si>
  <si>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</si>
  <si>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</si>
  <si>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</si>
  <si>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</si>
  <si>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</si>
  <si>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</si>
  <si>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</si>
  <si>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</si>
  <si>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</si>
  <si>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</si>
  <si>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</si>
  <si>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</si>
  <si>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</si>
  <si>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</si>
  <si>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</si>
  <si>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</si>
  <si>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</si>
  <si>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</si>
  <si>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</si>
  <si>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</si>
  <si>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</si>
  <si>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60-5-14-107.00 Car Allowance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</si>
  <si>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</si>
  <si>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</si>
  <si>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</si>
  <si>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</si>
  <si>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</si>
  <si>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</si>
  <si>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</si>
  <si>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</si>
  <si>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</si>
  <si>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</si>
  <si>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</si>
  <si>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</si>
  <si>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</si>
  <si>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</si>
  <si>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</si>
  <si>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</si>
  <si>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</si>
  <si>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</si>
  <si>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</si>
  <si>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</si>
  <si>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</si>
  <si>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</si>
  <si>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</si>
  <si>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</si>
  <si>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</si>
  <si>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</si>
  <si>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</si>
  <si>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</si>
  <si>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</si>
  <si>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</si>
  <si>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</si>
  <si>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</si>
  <si>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</si>
  <si>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</si>
  <si>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</si>
  <si>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</si>
  <si>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</si>
  <si>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</si>
  <si>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</si>
  <si>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</si>
  <si>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</si>
  <si>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</si>
  <si>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</si>
  <si>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</si>
  <si>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</si>
  <si>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</si>
  <si>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</si>
  <si>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</si>
  <si>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</si>
  <si>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</si>
  <si>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</si>
  <si>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</si>
  <si>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</si>
  <si>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</si>
  <si>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</si>
  <si>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</si>
  <si>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</si>
  <si>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</si>
  <si>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</si>
  <si>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</si>
  <si>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</si>
  <si>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</si>
  <si>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</si>
  <si>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</si>
  <si>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</si>
  <si>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</si>
  <si>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</si>
  <si>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</si>
  <si>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</si>
  <si>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</si>
  <si>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</si>
  <si>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</si>
  <si>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</si>
  <si>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</si>
  <si>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</si>
  <si>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</si>
  <si>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</si>
  <si>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</si>
  <si>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</si>
  <si>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Operatingl Revenues</t>
  </si>
  <si>
    <t>61-4-18-815.00 Reimbursed Expenses</t>
  </si>
  <si>
    <t>TOTAL Operatingl Revenues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</si>
  <si>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</si>
  <si>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</si>
  <si>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</si>
  <si>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</si>
  <si>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</si>
  <si>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</si>
  <si>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</si>
  <si>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</si>
  <si>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</si>
  <si>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</si>
  <si>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</si>
  <si>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</si>
  <si>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</si>
  <si>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</si>
  <si>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</si>
  <si>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</si>
  <si>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</si>
  <si>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</si>
  <si>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</si>
  <si>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61-5-18-314.00  Drug Testing</t>
  </si>
  <si>
    <t>61-5-18-316.00  Chemicals</t>
  </si>
  <si>
    <t>60-5-18-317.00  Uniforms</t>
  </si>
  <si>
    <t>61-5-18-392.00  Bad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</si>
  <si>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</si>
  <si>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</si>
  <si>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</si>
  <si>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</si>
  <si>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</si>
  <si>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71- EMPLOYEE BENEFITS TRUST FUND</t>
  </si>
  <si>
    <t>71-4-40-636.00  Medical Insurance Premiums</t>
  </si>
  <si>
    <t>71-4-40-898.00   Interest Earnings</t>
  </si>
  <si>
    <t>33-4-33-687.01  EDAP  CO   2019</t>
  </si>
  <si>
    <t xml:space="preserve">71-4-40-900.00 Transfers-in </t>
  </si>
  <si>
    <t>40-EMPLOYEE BENEFITS TRUST</t>
  </si>
  <si>
    <t>71-5-40-110.00 Employee Insurance</t>
  </si>
  <si>
    <t>TOTAL 71- EMPLOYEE BENEFITS TRUST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</si>
  <si>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</si>
  <si>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</si>
  <si>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</si>
  <si>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</si>
  <si>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</si>
  <si>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</si>
  <si>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</si>
  <si>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</si>
  <si>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</si>
  <si>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</si>
  <si>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</si>
  <si>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</si>
  <si>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</si>
  <si>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</si>
  <si>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</si>
  <si>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</si>
  <si>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</si>
  <si>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</si>
  <si>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</si>
  <si>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</si>
  <si>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</si>
  <si>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</si>
  <si>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-Drainage</t>
  </si>
  <si>
    <t>80-4-43-671.02 CARES ACT Grant</t>
  </si>
  <si>
    <t>80-4-43-672.00 TXDOT-Airport -NPE/ IIJA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</si>
  <si>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</si>
  <si>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</si>
  <si>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</si>
  <si>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</si>
  <si>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</si>
  <si>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</si>
  <si>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</si>
  <si>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</si>
  <si>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</si>
  <si>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80-4-43-680.00  CLFRF 2021</t>
  </si>
  <si>
    <t>80-4-43-681.00 OPIOD Treatment Program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</si>
  <si>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</si>
  <si>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</si>
  <si>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</si>
  <si>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</si>
  <si>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</si>
  <si>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</si>
  <si>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</si>
  <si>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</si>
  <si>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</si>
  <si>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</si>
  <si>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</si>
  <si>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</si>
  <si>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80-4-16-910.20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</si>
  <si>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</si>
  <si>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</si>
  <si>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</si>
  <si>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</si>
  <si>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</si>
  <si>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</si>
  <si>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</si>
  <si>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</si>
  <si>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</si>
  <si>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</si>
  <si>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</si>
  <si>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</si>
  <si>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</si>
  <si>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</si>
  <si>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</si>
  <si>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</si>
  <si>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</si>
  <si>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</si>
  <si>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</si>
  <si>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</si>
  <si>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</si>
  <si>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</si>
  <si>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</si>
  <si>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</si>
  <si>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</si>
  <si>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</si>
  <si>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</si>
  <si>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</si>
  <si>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</si>
  <si>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</si>
  <si>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</si>
  <si>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</si>
  <si>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</si>
  <si>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</si>
  <si>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</si>
  <si>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</si>
  <si>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</si>
  <si>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</si>
  <si>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</si>
  <si>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</si>
  <si>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</si>
  <si>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</si>
  <si>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</si>
  <si>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</si>
  <si>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</si>
  <si>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</si>
  <si>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</si>
  <si>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</si>
  <si>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</si>
  <si>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</si>
  <si>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</si>
  <si>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</si>
  <si>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</si>
  <si>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</si>
  <si>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</si>
  <si>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80-5-43-261.00 OPIOID Treatment Program</t>
  </si>
  <si>
    <t>80-5-43-263.00 LCRA Grant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</si>
  <si>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</si>
  <si>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</si>
  <si>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</si>
  <si>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</si>
  <si>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</si>
  <si>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</si>
  <si>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</si>
  <si>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</si>
  <si>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</si>
  <si>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</si>
  <si>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</si>
  <si>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</si>
  <si>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Drainage</t>
  </si>
  <si>
    <t>80-5-43-271.01      Local Cost</t>
  </si>
  <si>
    <t>80-5-43-272.00 TXDOT-Airport - NPE/ IIJA Lighting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</si>
  <si>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</si>
  <si>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</si>
  <si>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</si>
  <si>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</si>
  <si>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</si>
  <si>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</si>
  <si>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</si>
  <si>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</si>
  <si>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</si>
  <si>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</si>
  <si>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</si>
  <si>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</si>
  <si>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</si>
  <si>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</si>
  <si>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</si>
  <si>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</si>
  <si>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</si>
  <si>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80-5-43-281.00  CLFRF 2021  Refund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</si>
  <si>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</si>
  <si>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</si>
  <si>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</si>
  <si>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</si>
  <si>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</si>
  <si>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</si>
  <si>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</si>
  <si>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</si>
  <si>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</si>
  <si>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>80-5-43-910.00 Transfers-out  to General Fund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</si>
  <si>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</si>
  <si>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</si>
  <si>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</si>
  <si>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</si>
  <si>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</si>
  <si>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</si>
  <si>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</si>
  <si>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</si>
  <si>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</si>
  <si>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</si>
  <si>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</si>
  <si>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</si>
  <si>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</si>
  <si>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</si>
  <si>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</si>
  <si>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</si>
  <si>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</si>
  <si>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</si>
  <si>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</si>
  <si>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</si>
  <si>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</si>
  <si>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</si>
  <si>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</si>
  <si>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Operating  Revenue</t>
  </si>
  <si>
    <t>81-4-47-814.00 Donation to Live Oak Cemetery</t>
  </si>
  <si>
    <t>TOTAL Operatin Revenue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</si>
  <si>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</si>
  <si>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</si>
  <si>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</si>
  <si>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</si>
  <si>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</si>
  <si>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</si>
  <si>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</si>
  <si>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</si>
  <si>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</si>
  <si>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</si>
  <si>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</si>
  <si>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81-5-47-309.00  Small Equipment</t>
  </si>
  <si>
    <t>81-5-47-312.00  General Repairs</t>
  </si>
  <si>
    <t>81-5-47-314.00  Drug Testing</t>
  </si>
  <si>
    <t>81-5-47-317.00  Uniforms &amp; Accessories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</si>
  <si>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</si>
  <si>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</si>
  <si>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</si>
  <si>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</si>
  <si>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</si>
  <si>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82-4-48-910.80 Transfers-in from Special Revenue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</si>
  <si>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</si>
  <si>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</si>
  <si>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</si>
  <si>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</si>
  <si>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</si>
  <si>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</si>
  <si>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83-4-49-632.01  Security Fees</t>
  </si>
  <si>
    <t>83-4-49-632.02  Technology Fees</t>
  </si>
  <si>
    <t>83-4-49-650.00  Education Subsidy</t>
  </si>
  <si>
    <t>83-4-49-651.00  Drug Seizure Awards</t>
  </si>
  <si>
    <t>Operating Revenue</t>
  </si>
  <si>
    <t>83-4-49-898.00 Interest Income</t>
  </si>
  <si>
    <t>TOTAL Operating Revenue</t>
  </si>
  <si>
    <t>83-4-49-910.10 Transfers-in from General Fund</t>
  </si>
  <si>
    <t>49- POLICE / SECURITY / TECH</t>
  </si>
  <si>
    <t>83-5-49-332.01 Security Expense - Court</t>
  </si>
  <si>
    <t>83-5-49-332.02 Technology Upgrades - Court</t>
  </si>
  <si>
    <t>83-5-49-350.00 Police Educational Training</t>
  </si>
  <si>
    <t>83-5-49-351.00 Drug Enforcement Program</t>
  </si>
  <si>
    <t>83-5-49-401.00 Capital Outlay - Projects</t>
  </si>
  <si>
    <t>83-5-49-402.00 Capital Outlay-Vechicles &amp; Equip</t>
  </si>
  <si>
    <t>TOTAL 49-POLICE / MINICIPAL COURT</t>
  </si>
  <si>
    <t>90  -ECONOMIC DEV CORPORATION FUND A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</si>
  <si>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</si>
  <si>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</si>
  <si>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</si>
  <si>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</si>
  <si>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</si>
  <si>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Income-Hangar E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</si>
  <si>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</si>
  <si>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</si>
  <si>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</si>
  <si>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</si>
  <si>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</si>
  <si>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</si>
  <si>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</si>
  <si>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</si>
  <si>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</si>
  <si>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</si>
  <si>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</si>
  <si>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</si>
  <si>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90-5-90-207.00 Marketing FY 19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</si>
  <si>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</si>
  <si>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</si>
  <si>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</si>
  <si>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</si>
  <si>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</si>
  <si>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</si>
  <si>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</si>
  <si>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90-5-90-242.00  Community Dev - Fish House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</si>
  <si>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</si>
  <si>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</si>
  <si>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</si>
  <si>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</si>
  <si>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</si>
  <si>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</si>
  <si>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</si>
  <si>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</si>
  <si>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</si>
  <si>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</si>
  <si>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</si>
  <si>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</si>
  <si>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OTHER (USE)</t>
  </si>
  <si>
    <t>90-5-90-910.10 Transfers-out General Fund</t>
  </si>
  <si>
    <t>TOTAL OTHER (USES)</t>
  </si>
  <si>
    <t>TOTAL 90-ECONOMIC DEV CORP</t>
  </si>
  <si>
    <t>91  -ECONOMIC DEV CORPORATION FUND - B</t>
  </si>
  <si>
    <t>91-4-91-600.00 Corporation Sales Tax</t>
  </si>
  <si>
    <t>91-4-91-605.00 Interest Income</t>
  </si>
  <si>
    <t>91-4-91-610.00 Loan Income-Davenport</t>
  </si>
  <si>
    <t>91-4-91-612.00 Loan Income-Thomas</t>
  </si>
  <si>
    <t>91-4-91-613.00 Loan Income-Owens</t>
  </si>
  <si>
    <t>91-4-91-630.00 Rental Income-Hangar E</t>
  </si>
  <si>
    <t>91-4-91-631.00 Rental Income-City of Brady</t>
  </si>
  <si>
    <t>91-4-91-632.00 Loan Income-Old Dodge Cross'g</t>
  </si>
  <si>
    <t>91-4-91-650.00 Reimbursements</t>
  </si>
  <si>
    <t>91-4-91-655.00 Donations</t>
  </si>
  <si>
    <t>91  -ECONOMIC DEV CORPORATION FUND</t>
  </si>
  <si>
    <t>91-ECONOMIC DEV CORP</t>
  </si>
  <si>
    <t>91-5-91-200.00 Marketing FY 19</t>
  </si>
  <si>
    <t>91-5-91-211.00  Professional / Legal Fees</t>
  </si>
  <si>
    <t>91-5-91-212.00 Audit</t>
  </si>
  <si>
    <t>91-5-91-213.00 Contract for Services-COBrady</t>
  </si>
  <si>
    <t>91-5-91-214.00 Contract fo Services - Chamber</t>
  </si>
  <si>
    <t>91-5-91-240.00 Community Dev - Civic Center</t>
  </si>
  <si>
    <t>91-5-91-242.00  Community Dev - Fish House</t>
  </si>
  <si>
    <t>91-5-91-300.00 Travel and Training</t>
  </si>
  <si>
    <t>91-5-91-301.00 Membership Dues / Fees</t>
  </si>
  <si>
    <t>91-5-91-302.00 Insurance</t>
  </si>
  <si>
    <t>91-5-91-303.00 Office Supplies</t>
  </si>
  <si>
    <t>91-5-91-304.00 Office Equipment</t>
  </si>
  <si>
    <t>91-5-91-305.00 Meeting Provisions</t>
  </si>
  <si>
    <t>91-5-91-310.00  Building Repair / Maintenance</t>
  </si>
  <si>
    <t>91-5-91-340.00 Property Taxes</t>
  </si>
  <si>
    <t>91-5-91-400.00 Property Acquisition</t>
  </si>
  <si>
    <t>91-5-91-910.10 Transfers-out General Fund</t>
  </si>
  <si>
    <t>TOTAL 91-ECONOMIC DEV CORP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</si>
</sst>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6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sz val="10"/>
      <color rgb="FFFF0000"/>
      <name val="Arial Narrow"/>
      <family val="2"/>
    </font>
    <font>
      <b/>
      <sz val="7.5"/>
      <color rgb="FFFF000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22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38" fontId="2" fillId="0" borderId="0" xfId="0" applyNumberFormat="1" applyFont="1"/>
    <xf numFmtId="0" fontId="4" fillId="0" borderId="0" xfId="0" applyFont="1"/>
    <xf numFmtId="38" fontId="3" fillId="0" borderId="0" xfId="0" applyNumberFormat="1" applyFont="1"/>
    <xf numFmtId="3" fontId="2" fillId="0" borderId="1" xfId="0" applyNumberFormat="1" applyFont="1" applyBorder="1"/>
    <xf numFmtId="40" fontId="2" fillId="0" borderId="0" xfId="0" applyNumberFormat="1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38" fontId="6" fillId="0" borderId="0" xfId="0" applyNumberFormat="1" applyFont="1"/>
    <xf numFmtId="3" fontId="7" fillId="0" borderId="0" xfId="0" applyNumberFormat="1" applyFont="1"/>
    <xf numFmtId="0" fontId="7" fillId="0" borderId="0" xfId="0" applyFont="1"/>
    <xf numFmtId="38" fontId="7" fillId="0" borderId="0" xfId="0" applyNumberFormat="1" applyFont="1"/>
    <xf numFmtId="0" fontId="8" fillId="0" borderId="0" xfId="0" applyFont="1"/>
    <xf numFmtId="2" fontId="2" fillId="0" borderId="0" xfId="0" applyNumberFormat="1" applyFont="1"/>
    <xf numFmtId="4" fontId="6" fillId="0" borderId="0" xfId="0" applyNumberFormat="1" applyFont="1"/>
    <xf numFmtId="37" fontId="2" fillId="0" borderId="0" xfId="0" applyNumberFormat="1" applyFont="1"/>
    <xf numFmtId="3" fontId="2" fillId="0" borderId="2" xfId="0" applyNumberFormat="1" applyFont="1" applyBorder="1"/>
    <xf numFmtId="37" fontId="2" fillId="0" borderId="1" xfId="0" applyNumberFormat="1" applyFont="1" applyBorder="1"/>
    <xf numFmtId="38" fontId="2" fillId="0" borderId="1" xfId="0" applyNumberFormat="1" applyFont="1" applyBorder="1"/>
    <xf numFmtId="0" fontId="9" fillId="0" borderId="0" xfId="0" applyFont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/>
    <xf numFmtId="0" fontId="6" fillId="0" borderId="0" xfId="0" applyFont="1"/>
    <xf numFmtId="3" fontId="4" fillId="0" borderId="0" xfId="0" applyNumberFormat="1" applyFont="1"/>
    <xf numFmtId="38" fontId="4" fillId="0" borderId="0" xfId="0" applyNumberFormat="1" applyFont="1"/>
    <xf numFmtId="3" fontId="2" fillId="0" borderId="0" xfId="1" applyNumberFormat="1" applyFont="1" applyFill="1"/>
    <xf numFmtId="38" fontId="2" fillId="0" borderId="2" xfId="0" applyNumberFormat="1" applyFont="1" applyBorder="1"/>
    <xf numFmtId="38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3" fontId="10" fillId="0" borderId="0" xfId="0" applyNumberFormat="1" applyFont="1"/>
    <xf numFmtId="38" fontId="10" fillId="0" borderId="0" xfId="0" applyNumberFormat="1" applyFont="1"/>
    <xf numFmtId="3" fontId="9" fillId="0" borderId="0" xfId="0" applyNumberFormat="1" applyFont="1"/>
    <xf numFmtId="3" fontId="6" fillId="0" borderId="0" xfId="0" applyNumberFormat="1" applyFont="1"/>
    <xf numFmtId="4" fontId="5" fillId="0" borderId="0" xfId="0" applyNumberFormat="1" applyFont="1"/>
    <xf numFmtId="0" fontId="11" fillId="0" borderId="0" xfId="0" applyFont="1"/>
    <xf numFmtId="38" fontId="5" fillId="0" borderId="0" xfId="0" applyNumberFormat="1" applyFont="1"/>
    <xf numFmtId="40" fontId="3" fillId="0" borderId="0" xfId="0" applyNumberFormat="1" applyFont="1"/>
    <xf numFmtId="40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108D-6F8B-4F04-A37C-0569EAC3541C}">
  <sheetPr>
    <tabColor rgb="FFFF0000"/>
    <pageSetUpPr fitToPage="1"/>
  </sheetPr>
  <dimension ref="A1:AH6310"/>
  <sheetViews>
    <sheetView tabSelected="1" workbookViewId="0">
      <selection activeCell="R51" sqref="R51"/>
    </sheetView>
  </sheetViews>
  <sheetFormatPr defaultRowHeight="12.75" x14ac:dyDescent="0.2"/>
  <cols>
    <col min="1" max="1" width="35" style="3" customWidth="1"/>
    <col min="2" max="2" width="1.28515625" style="3" customWidth="1"/>
    <col min="3" max="3" width="10.85546875" style="2" customWidth="1"/>
    <col min="4" max="4" width="1.7109375" style="2" customWidth="1"/>
    <col min="5" max="5" width="9.85546875" style="2" customWidth="1"/>
    <col min="6" max="6" width="1.42578125" style="2" customWidth="1"/>
    <col min="7" max="7" width="10.7109375" style="2" customWidth="1"/>
    <col min="8" max="8" width="1.42578125" style="2" customWidth="1"/>
    <col min="9" max="9" width="10.42578125" style="2" customWidth="1"/>
    <col min="10" max="10" width="1.28515625" style="2" customWidth="1"/>
    <col min="11" max="11" width="11.42578125" style="2" customWidth="1"/>
    <col min="12" max="12" width="1.28515625" style="3" customWidth="1"/>
    <col min="13" max="13" width="10.5703125" style="2" hidden="1" customWidth="1"/>
    <col min="14" max="14" width="1.28515625" style="3" hidden="1" customWidth="1"/>
    <col min="15" max="15" width="9" style="2" hidden="1" customWidth="1"/>
    <col min="16" max="16" width="1.28515625" style="3" customWidth="1"/>
    <col min="17" max="17" width="10.5703125" style="2" customWidth="1"/>
    <col min="18" max="18" width="9.140625" style="3" customWidth="1"/>
    <col min="19" max="19" width="9.140625" style="2" customWidth="1"/>
    <col min="20" max="20" width="13.42578125" style="4" customWidth="1"/>
    <col min="21" max="21" width="12.85546875" style="3" customWidth="1"/>
    <col min="22" max="31" width="1.85546875" style="3" customWidth="1"/>
    <col min="32" max="32" width="10.42578125" style="3" bestFit="1" customWidth="1"/>
    <col min="33" max="256" width="9.140625" style="3"/>
    <col min="257" max="257" width="35" style="3" customWidth="1"/>
    <col min="258" max="258" width="1.28515625" style="3" customWidth="1"/>
    <col min="259" max="259" width="10.85546875" style="3" customWidth="1"/>
    <col min="260" max="260" width="1.7109375" style="3" customWidth="1"/>
    <col min="261" max="261" width="9.85546875" style="3" customWidth="1"/>
    <col min="262" max="262" width="1.42578125" style="3" customWidth="1"/>
    <col min="263" max="263" width="10.7109375" style="3" customWidth="1"/>
    <col min="264" max="264" width="1.42578125" style="3" customWidth="1"/>
    <col min="265" max="265" width="10.42578125" style="3" customWidth="1"/>
    <col min="266" max="266" width="1.28515625" style="3" customWidth="1"/>
    <col min="267" max="267" width="11.42578125" style="3" customWidth="1"/>
    <col min="268" max="268" width="1.28515625" style="3" customWidth="1"/>
    <col min="269" max="271" width="0" style="3" hidden="1" customWidth="1"/>
    <col min="272" max="272" width="1.28515625" style="3" customWidth="1"/>
    <col min="273" max="273" width="10.5703125" style="3" customWidth="1"/>
    <col min="274" max="275" width="9.140625" style="3"/>
    <col min="276" max="276" width="13.42578125" style="3" customWidth="1"/>
    <col min="277" max="277" width="12.85546875" style="3" customWidth="1"/>
    <col min="278" max="287" width="1.85546875" style="3" customWidth="1"/>
    <col min="288" max="288" width="10.42578125" style="3" bestFit="1" customWidth="1"/>
    <col min="289" max="512" width="9.140625" style="3"/>
    <col min="513" max="513" width="35" style="3" customWidth="1"/>
    <col min="514" max="514" width="1.28515625" style="3" customWidth="1"/>
    <col min="515" max="515" width="10.85546875" style="3" customWidth="1"/>
    <col min="516" max="516" width="1.7109375" style="3" customWidth="1"/>
    <col min="517" max="517" width="9.85546875" style="3" customWidth="1"/>
    <col min="518" max="518" width="1.42578125" style="3" customWidth="1"/>
    <col min="519" max="519" width="10.7109375" style="3" customWidth="1"/>
    <col min="520" max="520" width="1.42578125" style="3" customWidth="1"/>
    <col min="521" max="521" width="10.42578125" style="3" customWidth="1"/>
    <col min="522" max="522" width="1.28515625" style="3" customWidth="1"/>
    <col min="523" max="523" width="11.42578125" style="3" customWidth="1"/>
    <col min="524" max="524" width="1.28515625" style="3" customWidth="1"/>
    <col min="525" max="527" width="0" style="3" hidden="1" customWidth="1"/>
    <col min="528" max="528" width="1.28515625" style="3" customWidth="1"/>
    <col min="529" max="529" width="10.5703125" style="3" customWidth="1"/>
    <col min="530" max="531" width="9.140625" style="3"/>
    <col min="532" max="532" width="13.42578125" style="3" customWidth="1"/>
    <col min="533" max="533" width="12.85546875" style="3" customWidth="1"/>
    <col min="534" max="543" width="1.85546875" style="3" customWidth="1"/>
    <col min="544" max="544" width="10.42578125" style="3" bestFit="1" customWidth="1"/>
    <col min="545" max="768" width="9.140625" style="3"/>
    <col min="769" max="769" width="35" style="3" customWidth="1"/>
    <col min="770" max="770" width="1.28515625" style="3" customWidth="1"/>
    <col min="771" max="771" width="10.85546875" style="3" customWidth="1"/>
    <col min="772" max="772" width="1.7109375" style="3" customWidth="1"/>
    <col min="773" max="773" width="9.85546875" style="3" customWidth="1"/>
    <col min="774" max="774" width="1.42578125" style="3" customWidth="1"/>
    <col min="775" max="775" width="10.7109375" style="3" customWidth="1"/>
    <col min="776" max="776" width="1.42578125" style="3" customWidth="1"/>
    <col min="777" max="777" width="10.42578125" style="3" customWidth="1"/>
    <col min="778" max="778" width="1.28515625" style="3" customWidth="1"/>
    <col min="779" max="779" width="11.42578125" style="3" customWidth="1"/>
    <col min="780" max="780" width="1.28515625" style="3" customWidth="1"/>
    <col min="781" max="783" width="0" style="3" hidden="1" customWidth="1"/>
    <col min="784" max="784" width="1.28515625" style="3" customWidth="1"/>
    <col min="785" max="785" width="10.5703125" style="3" customWidth="1"/>
    <col min="786" max="787" width="9.140625" style="3"/>
    <col min="788" max="788" width="13.42578125" style="3" customWidth="1"/>
    <col min="789" max="789" width="12.85546875" style="3" customWidth="1"/>
    <col min="790" max="799" width="1.85546875" style="3" customWidth="1"/>
    <col min="800" max="800" width="10.42578125" style="3" bestFit="1" customWidth="1"/>
    <col min="801" max="1024" width="9.140625" style="3"/>
    <col min="1025" max="1025" width="35" style="3" customWidth="1"/>
    <col min="1026" max="1026" width="1.28515625" style="3" customWidth="1"/>
    <col min="1027" max="1027" width="10.85546875" style="3" customWidth="1"/>
    <col min="1028" max="1028" width="1.7109375" style="3" customWidth="1"/>
    <col min="1029" max="1029" width="9.85546875" style="3" customWidth="1"/>
    <col min="1030" max="1030" width="1.42578125" style="3" customWidth="1"/>
    <col min="1031" max="1031" width="10.7109375" style="3" customWidth="1"/>
    <col min="1032" max="1032" width="1.42578125" style="3" customWidth="1"/>
    <col min="1033" max="1033" width="10.42578125" style="3" customWidth="1"/>
    <col min="1034" max="1034" width="1.28515625" style="3" customWidth="1"/>
    <col min="1035" max="1035" width="11.42578125" style="3" customWidth="1"/>
    <col min="1036" max="1036" width="1.28515625" style="3" customWidth="1"/>
    <col min="1037" max="1039" width="0" style="3" hidden="1" customWidth="1"/>
    <col min="1040" max="1040" width="1.28515625" style="3" customWidth="1"/>
    <col min="1041" max="1041" width="10.5703125" style="3" customWidth="1"/>
    <col min="1042" max="1043" width="9.140625" style="3"/>
    <col min="1044" max="1044" width="13.42578125" style="3" customWidth="1"/>
    <col min="1045" max="1045" width="12.85546875" style="3" customWidth="1"/>
    <col min="1046" max="1055" width="1.85546875" style="3" customWidth="1"/>
    <col min="1056" max="1056" width="10.42578125" style="3" bestFit="1" customWidth="1"/>
    <col min="1057" max="1280" width="9.140625" style="3"/>
    <col min="1281" max="1281" width="35" style="3" customWidth="1"/>
    <col min="1282" max="1282" width="1.28515625" style="3" customWidth="1"/>
    <col min="1283" max="1283" width="10.85546875" style="3" customWidth="1"/>
    <col min="1284" max="1284" width="1.7109375" style="3" customWidth="1"/>
    <col min="1285" max="1285" width="9.85546875" style="3" customWidth="1"/>
    <col min="1286" max="1286" width="1.42578125" style="3" customWidth="1"/>
    <col min="1287" max="1287" width="10.7109375" style="3" customWidth="1"/>
    <col min="1288" max="1288" width="1.42578125" style="3" customWidth="1"/>
    <col min="1289" max="1289" width="10.42578125" style="3" customWidth="1"/>
    <col min="1290" max="1290" width="1.28515625" style="3" customWidth="1"/>
    <col min="1291" max="1291" width="11.42578125" style="3" customWidth="1"/>
    <col min="1292" max="1292" width="1.28515625" style="3" customWidth="1"/>
    <col min="1293" max="1295" width="0" style="3" hidden="1" customWidth="1"/>
    <col min="1296" max="1296" width="1.28515625" style="3" customWidth="1"/>
    <col min="1297" max="1297" width="10.5703125" style="3" customWidth="1"/>
    <col min="1298" max="1299" width="9.140625" style="3"/>
    <col min="1300" max="1300" width="13.42578125" style="3" customWidth="1"/>
    <col min="1301" max="1301" width="12.85546875" style="3" customWidth="1"/>
    <col min="1302" max="1311" width="1.85546875" style="3" customWidth="1"/>
    <col min="1312" max="1312" width="10.42578125" style="3" bestFit="1" customWidth="1"/>
    <col min="1313" max="1536" width="9.140625" style="3"/>
    <col min="1537" max="1537" width="35" style="3" customWidth="1"/>
    <col min="1538" max="1538" width="1.28515625" style="3" customWidth="1"/>
    <col min="1539" max="1539" width="10.85546875" style="3" customWidth="1"/>
    <col min="1540" max="1540" width="1.7109375" style="3" customWidth="1"/>
    <col min="1541" max="1541" width="9.85546875" style="3" customWidth="1"/>
    <col min="1542" max="1542" width="1.42578125" style="3" customWidth="1"/>
    <col min="1543" max="1543" width="10.7109375" style="3" customWidth="1"/>
    <col min="1544" max="1544" width="1.42578125" style="3" customWidth="1"/>
    <col min="1545" max="1545" width="10.42578125" style="3" customWidth="1"/>
    <col min="1546" max="1546" width="1.28515625" style="3" customWidth="1"/>
    <col min="1547" max="1547" width="11.42578125" style="3" customWidth="1"/>
    <col min="1548" max="1548" width="1.28515625" style="3" customWidth="1"/>
    <col min="1549" max="1551" width="0" style="3" hidden="1" customWidth="1"/>
    <col min="1552" max="1552" width="1.28515625" style="3" customWidth="1"/>
    <col min="1553" max="1553" width="10.5703125" style="3" customWidth="1"/>
    <col min="1554" max="1555" width="9.140625" style="3"/>
    <col min="1556" max="1556" width="13.42578125" style="3" customWidth="1"/>
    <col min="1557" max="1557" width="12.85546875" style="3" customWidth="1"/>
    <col min="1558" max="1567" width="1.85546875" style="3" customWidth="1"/>
    <col min="1568" max="1568" width="10.42578125" style="3" bestFit="1" customWidth="1"/>
    <col min="1569" max="1792" width="9.140625" style="3"/>
    <col min="1793" max="1793" width="35" style="3" customWidth="1"/>
    <col min="1794" max="1794" width="1.28515625" style="3" customWidth="1"/>
    <col min="1795" max="1795" width="10.85546875" style="3" customWidth="1"/>
    <col min="1796" max="1796" width="1.7109375" style="3" customWidth="1"/>
    <col min="1797" max="1797" width="9.85546875" style="3" customWidth="1"/>
    <col min="1798" max="1798" width="1.42578125" style="3" customWidth="1"/>
    <col min="1799" max="1799" width="10.7109375" style="3" customWidth="1"/>
    <col min="1800" max="1800" width="1.42578125" style="3" customWidth="1"/>
    <col min="1801" max="1801" width="10.42578125" style="3" customWidth="1"/>
    <col min="1802" max="1802" width="1.28515625" style="3" customWidth="1"/>
    <col min="1803" max="1803" width="11.42578125" style="3" customWidth="1"/>
    <col min="1804" max="1804" width="1.28515625" style="3" customWidth="1"/>
    <col min="1805" max="1807" width="0" style="3" hidden="1" customWidth="1"/>
    <col min="1808" max="1808" width="1.28515625" style="3" customWidth="1"/>
    <col min="1809" max="1809" width="10.5703125" style="3" customWidth="1"/>
    <col min="1810" max="1811" width="9.140625" style="3"/>
    <col min="1812" max="1812" width="13.42578125" style="3" customWidth="1"/>
    <col min="1813" max="1813" width="12.85546875" style="3" customWidth="1"/>
    <col min="1814" max="1823" width="1.85546875" style="3" customWidth="1"/>
    <col min="1824" max="1824" width="10.42578125" style="3" bestFit="1" customWidth="1"/>
    <col min="1825" max="2048" width="9.140625" style="3"/>
    <col min="2049" max="2049" width="35" style="3" customWidth="1"/>
    <col min="2050" max="2050" width="1.28515625" style="3" customWidth="1"/>
    <col min="2051" max="2051" width="10.85546875" style="3" customWidth="1"/>
    <col min="2052" max="2052" width="1.7109375" style="3" customWidth="1"/>
    <col min="2053" max="2053" width="9.85546875" style="3" customWidth="1"/>
    <col min="2054" max="2054" width="1.42578125" style="3" customWidth="1"/>
    <col min="2055" max="2055" width="10.7109375" style="3" customWidth="1"/>
    <col min="2056" max="2056" width="1.42578125" style="3" customWidth="1"/>
    <col min="2057" max="2057" width="10.42578125" style="3" customWidth="1"/>
    <col min="2058" max="2058" width="1.28515625" style="3" customWidth="1"/>
    <col min="2059" max="2059" width="11.42578125" style="3" customWidth="1"/>
    <col min="2060" max="2060" width="1.28515625" style="3" customWidth="1"/>
    <col min="2061" max="2063" width="0" style="3" hidden="1" customWidth="1"/>
    <col min="2064" max="2064" width="1.28515625" style="3" customWidth="1"/>
    <col min="2065" max="2065" width="10.5703125" style="3" customWidth="1"/>
    <col min="2066" max="2067" width="9.140625" style="3"/>
    <col min="2068" max="2068" width="13.42578125" style="3" customWidth="1"/>
    <col min="2069" max="2069" width="12.85546875" style="3" customWidth="1"/>
    <col min="2070" max="2079" width="1.85546875" style="3" customWidth="1"/>
    <col min="2080" max="2080" width="10.42578125" style="3" bestFit="1" customWidth="1"/>
    <col min="2081" max="2304" width="9.140625" style="3"/>
    <col min="2305" max="2305" width="35" style="3" customWidth="1"/>
    <col min="2306" max="2306" width="1.28515625" style="3" customWidth="1"/>
    <col min="2307" max="2307" width="10.85546875" style="3" customWidth="1"/>
    <col min="2308" max="2308" width="1.7109375" style="3" customWidth="1"/>
    <col min="2309" max="2309" width="9.85546875" style="3" customWidth="1"/>
    <col min="2310" max="2310" width="1.42578125" style="3" customWidth="1"/>
    <col min="2311" max="2311" width="10.7109375" style="3" customWidth="1"/>
    <col min="2312" max="2312" width="1.42578125" style="3" customWidth="1"/>
    <col min="2313" max="2313" width="10.42578125" style="3" customWidth="1"/>
    <col min="2314" max="2314" width="1.28515625" style="3" customWidth="1"/>
    <col min="2315" max="2315" width="11.42578125" style="3" customWidth="1"/>
    <col min="2316" max="2316" width="1.28515625" style="3" customWidth="1"/>
    <col min="2317" max="2319" width="0" style="3" hidden="1" customWidth="1"/>
    <col min="2320" max="2320" width="1.28515625" style="3" customWidth="1"/>
    <col min="2321" max="2321" width="10.5703125" style="3" customWidth="1"/>
    <col min="2322" max="2323" width="9.140625" style="3"/>
    <col min="2324" max="2324" width="13.42578125" style="3" customWidth="1"/>
    <col min="2325" max="2325" width="12.85546875" style="3" customWidth="1"/>
    <col min="2326" max="2335" width="1.85546875" style="3" customWidth="1"/>
    <col min="2336" max="2336" width="10.42578125" style="3" bestFit="1" customWidth="1"/>
    <col min="2337" max="2560" width="9.140625" style="3"/>
    <col min="2561" max="2561" width="35" style="3" customWidth="1"/>
    <col min="2562" max="2562" width="1.28515625" style="3" customWidth="1"/>
    <col min="2563" max="2563" width="10.85546875" style="3" customWidth="1"/>
    <col min="2564" max="2564" width="1.7109375" style="3" customWidth="1"/>
    <col min="2565" max="2565" width="9.85546875" style="3" customWidth="1"/>
    <col min="2566" max="2566" width="1.42578125" style="3" customWidth="1"/>
    <col min="2567" max="2567" width="10.7109375" style="3" customWidth="1"/>
    <col min="2568" max="2568" width="1.42578125" style="3" customWidth="1"/>
    <col min="2569" max="2569" width="10.42578125" style="3" customWidth="1"/>
    <col min="2570" max="2570" width="1.28515625" style="3" customWidth="1"/>
    <col min="2571" max="2571" width="11.42578125" style="3" customWidth="1"/>
    <col min="2572" max="2572" width="1.28515625" style="3" customWidth="1"/>
    <col min="2573" max="2575" width="0" style="3" hidden="1" customWidth="1"/>
    <col min="2576" max="2576" width="1.28515625" style="3" customWidth="1"/>
    <col min="2577" max="2577" width="10.5703125" style="3" customWidth="1"/>
    <col min="2578" max="2579" width="9.140625" style="3"/>
    <col min="2580" max="2580" width="13.42578125" style="3" customWidth="1"/>
    <col min="2581" max="2581" width="12.85546875" style="3" customWidth="1"/>
    <col min="2582" max="2591" width="1.85546875" style="3" customWidth="1"/>
    <col min="2592" max="2592" width="10.42578125" style="3" bestFit="1" customWidth="1"/>
    <col min="2593" max="2816" width="9.140625" style="3"/>
    <col min="2817" max="2817" width="35" style="3" customWidth="1"/>
    <col min="2818" max="2818" width="1.28515625" style="3" customWidth="1"/>
    <col min="2819" max="2819" width="10.85546875" style="3" customWidth="1"/>
    <col min="2820" max="2820" width="1.7109375" style="3" customWidth="1"/>
    <col min="2821" max="2821" width="9.85546875" style="3" customWidth="1"/>
    <col min="2822" max="2822" width="1.42578125" style="3" customWidth="1"/>
    <col min="2823" max="2823" width="10.7109375" style="3" customWidth="1"/>
    <col min="2824" max="2824" width="1.42578125" style="3" customWidth="1"/>
    <col min="2825" max="2825" width="10.42578125" style="3" customWidth="1"/>
    <col min="2826" max="2826" width="1.28515625" style="3" customWidth="1"/>
    <col min="2827" max="2827" width="11.42578125" style="3" customWidth="1"/>
    <col min="2828" max="2828" width="1.28515625" style="3" customWidth="1"/>
    <col min="2829" max="2831" width="0" style="3" hidden="1" customWidth="1"/>
    <col min="2832" max="2832" width="1.28515625" style="3" customWidth="1"/>
    <col min="2833" max="2833" width="10.5703125" style="3" customWidth="1"/>
    <col min="2834" max="2835" width="9.140625" style="3"/>
    <col min="2836" max="2836" width="13.42578125" style="3" customWidth="1"/>
    <col min="2837" max="2837" width="12.85546875" style="3" customWidth="1"/>
    <col min="2838" max="2847" width="1.85546875" style="3" customWidth="1"/>
    <col min="2848" max="2848" width="10.42578125" style="3" bestFit="1" customWidth="1"/>
    <col min="2849" max="3072" width="9.140625" style="3"/>
    <col min="3073" max="3073" width="35" style="3" customWidth="1"/>
    <col min="3074" max="3074" width="1.28515625" style="3" customWidth="1"/>
    <col min="3075" max="3075" width="10.85546875" style="3" customWidth="1"/>
    <col min="3076" max="3076" width="1.7109375" style="3" customWidth="1"/>
    <col min="3077" max="3077" width="9.85546875" style="3" customWidth="1"/>
    <col min="3078" max="3078" width="1.42578125" style="3" customWidth="1"/>
    <col min="3079" max="3079" width="10.7109375" style="3" customWidth="1"/>
    <col min="3080" max="3080" width="1.42578125" style="3" customWidth="1"/>
    <col min="3081" max="3081" width="10.42578125" style="3" customWidth="1"/>
    <col min="3082" max="3082" width="1.28515625" style="3" customWidth="1"/>
    <col min="3083" max="3083" width="11.42578125" style="3" customWidth="1"/>
    <col min="3084" max="3084" width="1.28515625" style="3" customWidth="1"/>
    <col min="3085" max="3087" width="0" style="3" hidden="1" customWidth="1"/>
    <col min="3088" max="3088" width="1.28515625" style="3" customWidth="1"/>
    <col min="3089" max="3089" width="10.5703125" style="3" customWidth="1"/>
    <col min="3090" max="3091" width="9.140625" style="3"/>
    <col min="3092" max="3092" width="13.42578125" style="3" customWidth="1"/>
    <col min="3093" max="3093" width="12.85546875" style="3" customWidth="1"/>
    <col min="3094" max="3103" width="1.85546875" style="3" customWidth="1"/>
    <col min="3104" max="3104" width="10.42578125" style="3" bestFit="1" customWidth="1"/>
    <col min="3105" max="3328" width="9.140625" style="3"/>
    <col min="3329" max="3329" width="35" style="3" customWidth="1"/>
    <col min="3330" max="3330" width="1.28515625" style="3" customWidth="1"/>
    <col min="3331" max="3331" width="10.85546875" style="3" customWidth="1"/>
    <col min="3332" max="3332" width="1.7109375" style="3" customWidth="1"/>
    <col min="3333" max="3333" width="9.85546875" style="3" customWidth="1"/>
    <col min="3334" max="3334" width="1.42578125" style="3" customWidth="1"/>
    <col min="3335" max="3335" width="10.7109375" style="3" customWidth="1"/>
    <col min="3336" max="3336" width="1.42578125" style="3" customWidth="1"/>
    <col min="3337" max="3337" width="10.42578125" style="3" customWidth="1"/>
    <col min="3338" max="3338" width="1.28515625" style="3" customWidth="1"/>
    <col min="3339" max="3339" width="11.42578125" style="3" customWidth="1"/>
    <col min="3340" max="3340" width="1.28515625" style="3" customWidth="1"/>
    <col min="3341" max="3343" width="0" style="3" hidden="1" customWidth="1"/>
    <col min="3344" max="3344" width="1.28515625" style="3" customWidth="1"/>
    <col min="3345" max="3345" width="10.5703125" style="3" customWidth="1"/>
    <col min="3346" max="3347" width="9.140625" style="3"/>
    <col min="3348" max="3348" width="13.42578125" style="3" customWidth="1"/>
    <col min="3349" max="3349" width="12.85546875" style="3" customWidth="1"/>
    <col min="3350" max="3359" width="1.85546875" style="3" customWidth="1"/>
    <col min="3360" max="3360" width="10.42578125" style="3" bestFit="1" customWidth="1"/>
    <col min="3361" max="3584" width="9.140625" style="3"/>
    <col min="3585" max="3585" width="35" style="3" customWidth="1"/>
    <col min="3586" max="3586" width="1.28515625" style="3" customWidth="1"/>
    <col min="3587" max="3587" width="10.85546875" style="3" customWidth="1"/>
    <col min="3588" max="3588" width="1.7109375" style="3" customWidth="1"/>
    <col min="3589" max="3589" width="9.85546875" style="3" customWidth="1"/>
    <col min="3590" max="3590" width="1.42578125" style="3" customWidth="1"/>
    <col min="3591" max="3591" width="10.7109375" style="3" customWidth="1"/>
    <col min="3592" max="3592" width="1.42578125" style="3" customWidth="1"/>
    <col min="3593" max="3593" width="10.42578125" style="3" customWidth="1"/>
    <col min="3594" max="3594" width="1.28515625" style="3" customWidth="1"/>
    <col min="3595" max="3595" width="11.42578125" style="3" customWidth="1"/>
    <col min="3596" max="3596" width="1.28515625" style="3" customWidth="1"/>
    <col min="3597" max="3599" width="0" style="3" hidden="1" customWidth="1"/>
    <col min="3600" max="3600" width="1.28515625" style="3" customWidth="1"/>
    <col min="3601" max="3601" width="10.5703125" style="3" customWidth="1"/>
    <col min="3602" max="3603" width="9.140625" style="3"/>
    <col min="3604" max="3604" width="13.42578125" style="3" customWidth="1"/>
    <col min="3605" max="3605" width="12.85546875" style="3" customWidth="1"/>
    <col min="3606" max="3615" width="1.85546875" style="3" customWidth="1"/>
    <col min="3616" max="3616" width="10.42578125" style="3" bestFit="1" customWidth="1"/>
    <col min="3617" max="3840" width="9.140625" style="3"/>
    <col min="3841" max="3841" width="35" style="3" customWidth="1"/>
    <col min="3842" max="3842" width="1.28515625" style="3" customWidth="1"/>
    <col min="3843" max="3843" width="10.85546875" style="3" customWidth="1"/>
    <col min="3844" max="3844" width="1.7109375" style="3" customWidth="1"/>
    <col min="3845" max="3845" width="9.85546875" style="3" customWidth="1"/>
    <col min="3846" max="3846" width="1.42578125" style="3" customWidth="1"/>
    <col min="3847" max="3847" width="10.7109375" style="3" customWidth="1"/>
    <col min="3848" max="3848" width="1.42578125" style="3" customWidth="1"/>
    <col min="3849" max="3849" width="10.42578125" style="3" customWidth="1"/>
    <col min="3850" max="3850" width="1.28515625" style="3" customWidth="1"/>
    <col min="3851" max="3851" width="11.42578125" style="3" customWidth="1"/>
    <col min="3852" max="3852" width="1.28515625" style="3" customWidth="1"/>
    <col min="3853" max="3855" width="0" style="3" hidden="1" customWidth="1"/>
    <col min="3856" max="3856" width="1.28515625" style="3" customWidth="1"/>
    <col min="3857" max="3857" width="10.5703125" style="3" customWidth="1"/>
    <col min="3858" max="3859" width="9.140625" style="3"/>
    <col min="3860" max="3860" width="13.42578125" style="3" customWidth="1"/>
    <col min="3861" max="3861" width="12.85546875" style="3" customWidth="1"/>
    <col min="3862" max="3871" width="1.85546875" style="3" customWidth="1"/>
    <col min="3872" max="3872" width="10.42578125" style="3" bestFit="1" customWidth="1"/>
    <col min="3873" max="4096" width="9.140625" style="3"/>
    <col min="4097" max="4097" width="35" style="3" customWidth="1"/>
    <col min="4098" max="4098" width="1.28515625" style="3" customWidth="1"/>
    <col min="4099" max="4099" width="10.85546875" style="3" customWidth="1"/>
    <col min="4100" max="4100" width="1.7109375" style="3" customWidth="1"/>
    <col min="4101" max="4101" width="9.85546875" style="3" customWidth="1"/>
    <col min="4102" max="4102" width="1.42578125" style="3" customWidth="1"/>
    <col min="4103" max="4103" width="10.7109375" style="3" customWidth="1"/>
    <col min="4104" max="4104" width="1.42578125" style="3" customWidth="1"/>
    <col min="4105" max="4105" width="10.42578125" style="3" customWidth="1"/>
    <col min="4106" max="4106" width="1.28515625" style="3" customWidth="1"/>
    <col min="4107" max="4107" width="11.42578125" style="3" customWidth="1"/>
    <col min="4108" max="4108" width="1.28515625" style="3" customWidth="1"/>
    <col min="4109" max="4111" width="0" style="3" hidden="1" customWidth="1"/>
    <col min="4112" max="4112" width="1.28515625" style="3" customWidth="1"/>
    <col min="4113" max="4113" width="10.5703125" style="3" customWidth="1"/>
    <col min="4114" max="4115" width="9.140625" style="3"/>
    <col min="4116" max="4116" width="13.42578125" style="3" customWidth="1"/>
    <col min="4117" max="4117" width="12.85546875" style="3" customWidth="1"/>
    <col min="4118" max="4127" width="1.85546875" style="3" customWidth="1"/>
    <col min="4128" max="4128" width="10.42578125" style="3" bestFit="1" customWidth="1"/>
    <col min="4129" max="4352" width="9.140625" style="3"/>
    <col min="4353" max="4353" width="35" style="3" customWidth="1"/>
    <col min="4354" max="4354" width="1.28515625" style="3" customWidth="1"/>
    <col min="4355" max="4355" width="10.85546875" style="3" customWidth="1"/>
    <col min="4356" max="4356" width="1.7109375" style="3" customWidth="1"/>
    <col min="4357" max="4357" width="9.85546875" style="3" customWidth="1"/>
    <col min="4358" max="4358" width="1.42578125" style="3" customWidth="1"/>
    <col min="4359" max="4359" width="10.7109375" style="3" customWidth="1"/>
    <col min="4360" max="4360" width="1.42578125" style="3" customWidth="1"/>
    <col min="4361" max="4361" width="10.42578125" style="3" customWidth="1"/>
    <col min="4362" max="4362" width="1.28515625" style="3" customWidth="1"/>
    <col min="4363" max="4363" width="11.42578125" style="3" customWidth="1"/>
    <col min="4364" max="4364" width="1.28515625" style="3" customWidth="1"/>
    <col min="4365" max="4367" width="0" style="3" hidden="1" customWidth="1"/>
    <col min="4368" max="4368" width="1.28515625" style="3" customWidth="1"/>
    <col min="4369" max="4369" width="10.5703125" style="3" customWidth="1"/>
    <col min="4370" max="4371" width="9.140625" style="3"/>
    <col min="4372" max="4372" width="13.42578125" style="3" customWidth="1"/>
    <col min="4373" max="4373" width="12.85546875" style="3" customWidth="1"/>
    <col min="4374" max="4383" width="1.85546875" style="3" customWidth="1"/>
    <col min="4384" max="4384" width="10.42578125" style="3" bestFit="1" customWidth="1"/>
    <col min="4385" max="4608" width="9.140625" style="3"/>
    <col min="4609" max="4609" width="35" style="3" customWidth="1"/>
    <col min="4610" max="4610" width="1.28515625" style="3" customWidth="1"/>
    <col min="4611" max="4611" width="10.85546875" style="3" customWidth="1"/>
    <col min="4612" max="4612" width="1.7109375" style="3" customWidth="1"/>
    <col min="4613" max="4613" width="9.85546875" style="3" customWidth="1"/>
    <col min="4614" max="4614" width="1.42578125" style="3" customWidth="1"/>
    <col min="4615" max="4615" width="10.7109375" style="3" customWidth="1"/>
    <col min="4616" max="4616" width="1.42578125" style="3" customWidth="1"/>
    <col min="4617" max="4617" width="10.42578125" style="3" customWidth="1"/>
    <col min="4618" max="4618" width="1.28515625" style="3" customWidth="1"/>
    <col min="4619" max="4619" width="11.42578125" style="3" customWidth="1"/>
    <col min="4620" max="4620" width="1.28515625" style="3" customWidth="1"/>
    <col min="4621" max="4623" width="0" style="3" hidden="1" customWidth="1"/>
    <col min="4624" max="4624" width="1.28515625" style="3" customWidth="1"/>
    <col min="4625" max="4625" width="10.5703125" style="3" customWidth="1"/>
    <col min="4626" max="4627" width="9.140625" style="3"/>
    <col min="4628" max="4628" width="13.42578125" style="3" customWidth="1"/>
    <col min="4629" max="4629" width="12.85546875" style="3" customWidth="1"/>
    <col min="4630" max="4639" width="1.85546875" style="3" customWidth="1"/>
    <col min="4640" max="4640" width="10.42578125" style="3" bestFit="1" customWidth="1"/>
    <col min="4641" max="4864" width="9.140625" style="3"/>
    <col min="4865" max="4865" width="35" style="3" customWidth="1"/>
    <col min="4866" max="4866" width="1.28515625" style="3" customWidth="1"/>
    <col min="4867" max="4867" width="10.85546875" style="3" customWidth="1"/>
    <col min="4868" max="4868" width="1.7109375" style="3" customWidth="1"/>
    <col min="4869" max="4869" width="9.85546875" style="3" customWidth="1"/>
    <col min="4870" max="4870" width="1.42578125" style="3" customWidth="1"/>
    <col min="4871" max="4871" width="10.7109375" style="3" customWidth="1"/>
    <col min="4872" max="4872" width="1.42578125" style="3" customWidth="1"/>
    <col min="4873" max="4873" width="10.42578125" style="3" customWidth="1"/>
    <col min="4874" max="4874" width="1.28515625" style="3" customWidth="1"/>
    <col min="4875" max="4875" width="11.42578125" style="3" customWidth="1"/>
    <col min="4876" max="4876" width="1.28515625" style="3" customWidth="1"/>
    <col min="4877" max="4879" width="0" style="3" hidden="1" customWidth="1"/>
    <col min="4880" max="4880" width="1.28515625" style="3" customWidth="1"/>
    <col min="4881" max="4881" width="10.5703125" style="3" customWidth="1"/>
    <col min="4882" max="4883" width="9.140625" style="3"/>
    <col min="4884" max="4884" width="13.42578125" style="3" customWidth="1"/>
    <col min="4885" max="4885" width="12.85546875" style="3" customWidth="1"/>
    <col min="4886" max="4895" width="1.85546875" style="3" customWidth="1"/>
    <col min="4896" max="4896" width="10.42578125" style="3" bestFit="1" customWidth="1"/>
    <col min="4897" max="5120" width="9.140625" style="3"/>
    <col min="5121" max="5121" width="35" style="3" customWidth="1"/>
    <col min="5122" max="5122" width="1.28515625" style="3" customWidth="1"/>
    <col min="5123" max="5123" width="10.85546875" style="3" customWidth="1"/>
    <col min="5124" max="5124" width="1.7109375" style="3" customWidth="1"/>
    <col min="5125" max="5125" width="9.85546875" style="3" customWidth="1"/>
    <col min="5126" max="5126" width="1.42578125" style="3" customWidth="1"/>
    <col min="5127" max="5127" width="10.7109375" style="3" customWidth="1"/>
    <col min="5128" max="5128" width="1.42578125" style="3" customWidth="1"/>
    <col min="5129" max="5129" width="10.42578125" style="3" customWidth="1"/>
    <col min="5130" max="5130" width="1.28515625" style="3" customWidth="1"/>
    <col min="5131" max="5131" width="11.42578125" style="3" customWidth="1"/>
    <col min="5132" max="5132" width="1.28515625" style="3" customWidth="1"/>
    <col min="5133" max="5135" width="0" style="3" hidden="1" customWidth="1"/>
    <col min="5136" max="5136" width="1.28515625" style="3" customWidth="1"/>
    <col min="5137" max="5137" width="10.5703125" style="3" customWidth="1"/>
    <col min="5138" max="5139" width="9.140625" style="3"/>
    <col min="5140" max="5140" width="13.42578125" style="3" customWidth="1"/>
    <col min="5141" max="5141" width="12.85546875" style="3" customWidth="1"/>
    <col min="5142" max="5151" width="1.85546875" style="3" customWidth="1"/>
    <col min="5152" max="5152" width="10.42578125" style="3" bestFit="1" customWidth="1"/>
    <col min="5153" max="5376" width="9.140625" style="3"/>
    <col min="5377" max="5377" width="35" style="3" customWidth="1"/>
    <col min="5378" max="5378" width="1.28515625" style="3" customWidth="1"/>
    <col min="5379" max="5379" width="10.85546875" style="3" customWidth="1"/>
    <col min="5380" max="5380" width="1.7109375" style="3" customWidth="1"/>
    <col min="5381" max="5381" width="9.85546875" style="3" customWidth="1"/>
    <col min="5382" max="5382" width="1.42578125" style="3" customWidth="1"/>
    <col min="5383" max="5383" width="10.7109375" style="3" customWidth="1"/>
    <col min="5384" max="5384" width="1.42578125" style="3" customWidth="1"/>
    <col min="5385" max="5385" width="10.42578125" style="3" customWidth="1"/>
    <col min="5386" max="5386" width="1.28515625" style="3" customWidth="1"/>
    <col min="5387" max="5387" width="11.42578125" style="3" customWidth="1"/>
    <col min="5388" max="5388" width="1.28515625" style="3" customWidth="1"/>
    <col min="5389" max="5391" width="0" style="3" hidden="1" customWidth="1"/>
    <col min="5392" max="5392" width="1.28515625" style="3" customWidth="1"/>
    <col min="5393" max="5393" width="10.5703125" style="3" customWidth="1"/>
    <col min="5394" max="5395" width="9.140625" style="3"/>
    <col min="5396" max="5396" width="13.42578125" style="3" customWidth="1"/>
    <col min="5397" max="5397" width="12.85546875" style="3" customWidth="1"/>
    <col min="5398" max="5407" width="1.85546875" style="3" customWidth="1"/>
    <col min="5408" max="5408" width="10.42578125" style="3" bestFit="1" customWidth="1"/>
    <col min="5409" max="5632" width="9.140625" style="3"/>
    <col min="5633" max="5633" width="35" style="3" customWidth="1"/>
    <col min="5634" max="5634" width="1.28515625" style="3" customWidth="1"/>
    <col min="5635" max="5635" width="10.85546875" style="3" customWidth="1"/>
    <col min="5636" max="5636" width="1.7109375" style="3" customWidth="1"/>
    <col min="5637" max="5637" width="9.85546875" style="3" customWidth="1"/>
    <col min="5638" max="5638" width="1.42578125" style="3" customWidth="1"/>
    <col min="5639" max="5639" width="10.7109375" style="3" customWidth="1"/>
    <col min="5640" max="5640" width="1.42578125" style="3" customWidth="1"/>
    <col min="5641" max="5641" width="10.42578125" style="3" customWidth="1"/>
    <col min="5642" max="5642" width="1.28515625" style="3" customWidth="1"/>
    <col min="5643" max="5643" width="11.42578125" style="3" customWidth="1"/>
    <col min="5644" max="5644" width="1.28515625" style="3" customWidth="1"/>
    <col min="5645" max="5647" width="0" style="3" hidden="1" customWidth="1"/>
    <col min="5648" max="5648" width="1.28515625" style="3" customWidth="1"/>
    <col min="5649" max="5649" width="10.5703125" style="3" customWidth="1"/>
    <col min="5650" max="5651" width="9.140625" style="3"/>
    <col min="5652" max="5652" width="13.42578125" style="3" customWidth="1"/>
    <col min="5653" max="5653" width="12.85546875" style="3" customWidth="1"/>
    <col min="5654" max="5663" width="1.85546875" style="3" customWidth="1"/>
    <col min="5664" max="5664" width="10.42578125" style="3" bestFit="1" customWidth="1"/>
    <col min="5665" max="5888" width="9.140625" style="3"/>
    <col min="5889" max="5889" width="35" style="3" customWidth="1"/>
    <col min="5890" max="5890" width="1.28515625" style="3" customWidth="1"/>
    <col min="5891" max="5891" width="10.85546875" style="3" customWidth="1"/>
    <col min="5892" max="5892" width="1.7109375" style="3" customWidth="1"/>
    <col min="5893" max="5893" width="9.85546875" style="3" customWidth="1"/>
    <col min="5894" max="5894" width="1.42578125" style="3" customWidth="1"/>
    <col min="5895" max="5895" width="10.7109375" style="3" customWidth="1"/>
    <col min="5896" max="5896" width="1.42578125" style="3" customWidth="1"/>
    <col min="5897" max="5897" width="10.42578125" style="3" customWidth="1"/>
    <col min="5898" max="5898" width="1.28515625" style="3" customWidth="1"/>
    <col min="5899" max="5899" width="11.42578125" style="3" customWidth="1"/>
    <col min="5900" max="5900" width="1.28515625" style="3" customWidth="1"/>
    <col min="5901" max="5903" width="0" style="3" hidden="1" customWidth="1"/>
    <col min="5904" max="5904" width="1.28515625" style="3" customWidth="1"/>
    <col min="5905" max="5905" width="10.5703125" style="3" customWidth="1"/>
    <col min="5906" max="5907" width="9.140625" style="3"/>
    <col min="5908" max="5908" width="13.42578125" style="3" customWidth="1"/>
    <col min="5909" max="5909" width="12.85546875" style="3" customWidth="1"/>
    <col min="5910" max="5919" width="1.85546875" style="3" customWidth="1"/>
    <col min="5920" max="5920" width="10.42578125" style="3" bestFit="1" customWidth="1"/>
    <col min="5921" max="6144" width="9.140625" style="3"/>
    <col min="6145" max="6145" width="35" style="3" customWidth="1"/>
    <col min="6146" max="6146" width="1.28515625" style="3" customWidth="1"/>
    <col min="6147" max="6147" width="10.85546875" style="3" customWidth="1"/>
    <col min="6148" max="6148" width="1.7109375" style="3" customWidth="1"/>
    <col min="6149" max="6149" width="9.85546875" style="3" customWidth="1"/>
    <col min="6150" max="6150" width="1.42578125" style="3" customWidth="1"/>
    <col min="6151" max="6151" width="10.7109375" style="3" customWidth="1"/>
    <col min="6152" max="6152" width="1.42578125" style="3" customWidth="1"/>
    <col min="6153" max="6153" width="10.42578125" style="3" customWidth="1"/>
    <col min="6154" max="6154" width="1.28515625" style="3" customWidth="1"/>
    <col min="6155" max="6155" width="11.42578125" style="3" customWidth="1"/>
    <col min="6156" max="6156" width="1.28515625" style="3" customWidth="1"/>
    <col min="6157" max="6159" width="0" style="3" hidden="1" customWidth="1"/>
    <col min="6160" max="6160" width="1.28515625" style="3" customWidth="1"/>
    <col min="6161" max="6161" width="10.5703125" style="3" customWidth="1"/>
    <col min="6162" max="6163" width="9.140625" style="3"/>
    <col min="6164" max="6164" width="13.42578125" style="3" customWidth="1"/>
    <col min="6165" max="6165" width="12.85546875" style="3" customWidth="1"/>
    <col min="6166" max="6175" width="1.85546875" style="3" customWidth="1"/>
    <col min="6176" max="6176" width="10.42578125" style="3" bestFit="1" customWidth="1"/>
    <col min="6177" max="6400" width="9.140625" style="3"/>
    <col min="6401" max="6401" width="35" style="3" customWidth="1"/>
    <col min="6402" max="6402" width="1.28515625" style="3" customWidth="1"/>
    <col min="6403" max="6403" width="10.85546875" style="3" customWidth="1"/>
    <col min="6404" max="6404" width="1.7109375" style="3" customWidth="1"/>
    <col min="6405" max="6405" width="9.85546875" style="3" customWidth="1"/>
    <col min="6406" max="6406" width="1.42578125" style="3" customWidth="1"/>
    <col min="6407" max="6407" width="10.7109375" style="3" customWidth="1"/>
    <col min="6408" max="6408" width="1.42578125" style="3" customWidth="1"/>
    <col min="6409" max="6409" width="10.42578125" style="3" customWidth="1"/>
    <col min="6410" max="6410" width="1.28515625" style="3" customWidth="1"/>
    <col min="6411" max="6411" width="11.42578125" style="3" customWidth="1"/>
    <col min="6412" max="6412" width="1.28515625" style="3" customWidth="1"/>
    <col min="6413" max="6415" width="0" style="3" hidden="1" customWidth="1"/>
    <col min="6416" max="6416" width="1.28515625" style="3" customWidth="1"/>
    <col min="6417" max="6417" width="10.5703125" style="3" customWidth="1"/>
    <col min="6418" max="6419" width="9.140625" style="3"/>
    <col min="6420" max="6420" width="13.42578125" style="3" customWidth="1"/>
    <col min="6421" max="6421" width="12.85546875" style="3" customWidth="1"/>
    <col min="6422" max="6431" width="1.85546875" style="3" customWidth="1"/>
    <col min="6432" max="6432" width="10.42578125" style="3" bestFit="1" customWidth="1"/>
    <col min="6433" max="6656" width="9.140625" style="3"/>
    <col min="6657" max="6657" width="35" style="3" customWidth="1"/>
    <col min="6658" max="6658" width="1.28515625" style="3" customWidth="1"/>
    <col min="6659" max="6659" width="10.85546875" style="3" customWidth="1"/>
    <col min="6660" max="6660" width="1.7109375" style="3" customWidth="1"/>
    <col min="6661" max="6661" width="9.85546875" style="3" customWidth="1"/>
    <col min="6662" max="6662" width="1.42578125" style="3" customWidth="1"/>
    <col min="6663" max="6663" width="10.7109375" style="3" customWidth="1"/>
    <col min="6664" max="6664" width="1.42578125" style="3" customWidth="1"/>
    <col min="6665" max="6665" width="10.42578125" style="3" customWidth="1"/>
    <col min="6666" max="6666" width="1.28515625" style="3" customWidth="1"/>
    <col min="6667" max="6667" width="11.42578125" style="3" customWidth="1"/>
    <col min="6668" max="6668" width="1.28515625" style="3" customWidth="1"/>
    <col min="6669" max="6671" width="0" style="3" hidden="1" customWidth="1"/>
    <col min="6672" max="6672" width="1.28515625" style="3" customWidth="1"/>
    <col min="6673" max="6673" width="10.5703125" style="3" customWidth="1"/>
    <col min="6674" max="6675" width="9.140625" style="3"/>
    <col min="6676" max="6676" width="13.42578125" style="3" customWidth="1"/>
    <col min="6677" max="6677" width="12.85546875" style="3" customWidth="1"/>
    <col min="6678" max="6687" width="1.85546875" style="3" customWidth="1"/>
    <col min="6688" max="6688" width="10.42578125" style="3" bestFit="1" customWidth="1"/>
    <col min="6689" max="6912" width="9.140625" style="3"/>
    <col min="6913" max="6913" width="35" style="3" customWidth="1"/>
    <col min="6914" max="6914" width="1.28515625" style="3" customWidth="1"/>
    <col min="6915" max="6915" width="10.85546875" style="3" customWidth="1"/>
    <col min="6916" max="6916" width="1.7109375" style="3" customWidth="1"/>
    <col min="6917" max="6917" width="9.85546875" style="3" customWidth="1"/>
    <col min="6918" max="6918" width="1.42578125" style="3" customWidth="1"/>
    <col min="6919" max="6919" width="10.7109375" style="3" customWidth="1"/>
    <col min="6920" max="6920" width="1.42578125" style="3" customWidth="1"/>
    <col min="6921" max="6921" width="10.42578125" style="3" customWidth="1"/>
    <col min="6922" max="6922" width="1.28515625" style="3" customWidth="1"/>
    <col min="6923" max="6923" width="11.42578125" style="3" customWidth="1"/>
    <col min="6924" max="6924" width="1.28515625" style="3" customWidth="1"/>
    <col min="6925" max="6927" width="0" style="3" hidden="1" customWidth="1"/>
    <col min="6928" max="6928" width="1.28515625" style="3" customWidth="1"/>
    <col min="6929" max="6929" width="10.5703125" style="3" customWidth="1"/>
    <col min="6930" max="6931" width="9.140625" style="3"/>
    <col min="6932" max="6932" width="13.42578125" style="3" customWidth="1"/>
    <col min="6933" max="6933" width="12.85546875" style="3" customWidth="1"/>
    <col min="6934" max="6943" width="1.85546875" style="3" customWidth="1"/>
    <col min="6944" max="6944" width="10.42578125" style="3" bestFit="1" customWidth="1"/>
    <col min="6945" max="7168" width="9.140625" style="3"/>
    <col min="7169" max="7169" width="35" style="3" customWidth="1"/>
    <col min="7170" max="7170" width="1.28515625" style="3" customWidth="1"/>
    <col min="7171" max="7171" width="10.85546875" style="3" customWidth="1"/>
    <col min="7172" max="7172" width="1.7109375" style="3" customWidth="1"/>
    <col min="7173" max="7173" width="9.85546875" style="3" customWidth="1"/>
    <col min="7174" max="7174" width="1.42578125" style="3" customWidth="1"/>
    <col min="7175" max="7175" width="10.7109375" style="3" customWidth="1"/>
    <col min="7176" max="7176" width="1.42578125" style="3" customWidth="1"/>
    <col min="7177" max="7177" width="10.42578125" style="3" customWidth="1"/>
    <col min="7178" max="7178" width="1.28515625" style="3" customWidth="1"/>
    <col min="7179" max="7179" width="11.42578125" style="3" customWidth="1"/>
    <col min="7180" max="7180" width="1.28515625" style="3" customWidth="1"/>
    <col min="7181" max="7183" width="0" style="3" hidden="1" customWidth="1"/>
    <col min="7184" max="7184" width="1.28515625" style="3" customWidth="1"/>
    <col min="7185" max="7185" width="10.5703125" style="3" customWidth="1"/>
    <col min="7186" max="7187" width="9.140625" style="3"/>
    <col min="7188" max="7188" width="13.42578125" style="3" customWidth="1"/>
    <col min="7189" max="7189" width="12.85546875" style="3" customWidth="1"/>
    <col min="7190" max="7199" width="1.85546875" style="3" customWidth="1"/>
    <col min="7200" max="7200" width="10.42578125" style="3" bestFit="1" customWidth="1"/>
    <col min="7201" max="7424" width="9.140625" style="3"/>
    <col min="7425" max="7425" width="35" style="3" customWidth="1"/>
    <col min="7426" max="7426" width="1.28515625" style="3" customWidth="1"/>
    <col min="7427" max="7427" width="10.85546875" style="3" customWidth="1"/>
    <col min="7428" max="7428" width="1.7109375" style="3" customWidth="1"/>
    <col min="7429" max="7429" width="9.85546875" style="3" customWidth="1"/>
    <col min="7430" max="7430" width="1.42578125" style="3" customWidth="1"/>
    <col min="7431" max="7431" width="10.7109375" style="3" customWidth="1"/>
    <col min="7432" max="7432" width="1.42578125" style="3" customWidth="1"/>
    <col min="7433" max="7433" width="10.42578125" style="3" customWidth="1"/>
    <col min="7434" max="7434" width="1.28515625" style="3" customWidth="1"/>
    <col min="7435" max="7435" width="11.42578125" style="3" customWidth="1"/>
    <col min="7436" max="7436" width="1.28515625" style="3" customWidth="1"/>
    <col min="7437" max="7439" width="0" style="3" hidden="1" customWidth="1"/>
    <col min="7440" max="7440" width="1.28515625" style="3" customWidth="1"/>
    <col min="7441" max="7441" width="10.5703125" style="3" customWidth="1"/>
    <col min="7442" max="7443" width="9.140625" style="3"/>
    <col min="7444" max="7444" width="13.42578125" style="3" customWidth="1"/>
    <col min="7445" max="7445" width="12.85546875" style="3" customWidth="1"/>
    <col min="7446" max="7455" width="1.85546875" style="3" customWidth="1"/>
    <col min="7456" max="7456" width="10.42578125" style="3" bestFit="1" customWidth="1"/>
    <col min="7457" max="7680" width="9.140625" style="3"/>
    <col min="7681" max="7681" width="35" style="3" customWidth="1"/>
    <col min="7682" max="7682" width="1.28515625" style="3" customWidth="1"/>
    <col min="7683" max="7683" width="10.85546875" style="3" customWidth="1"/>
    <col min="7684" max="7684" width="1.7109375" style="3" customWidth="1"/>
    <col min="7685" max="7685" width="9.85546875" style="3" customWidth="1"/>
    <col min="7686" max="7686" width="1.42578125" style="3" customWidth="1"/>
    <col min="7687" max="7687" width="10.7109375" style="3" customWidth="1"/>
    <col min="7688" max="7688" width="1.42578125" style="3" customWidth="1"/>
    <col min="7689" max="7689" width="10.42578125" style="3" customWidth="1"/>
    <col min="7690" max="7690" width="1.28515625" style="3" customWidth="1"/>
    <col min="7691" max="7691" width="11.42578125" style="3" customWidth="1"/>
    <col min="7692" max="7692" width="1.28515625" style="3" customWidth="1"/>
    <col min="7693" max="7695" width="0" style="3" hidden="1" customWidth="1"/>
    <col min="7696" max="7696" width="1.28515625" style="3" customWidth="1"/>
    <col min="7697" max="7697" width="10.5703125" style="3" customWidth="1"/>
    <col min="7698" max="7699" width="9.140625" style="3"/>
    <col min="7700" max="7700" width="13.42578125" style="3" customWidth="1"/>
    <col min="7701" max="7701" width="12.85546875" style="3" customWidth="1"/>
    <col min="7702" max="7711" width="1.85546875" style="3" customWidth="1"/>
    <col min="7712" max="7712" width="10.42578125" style="3" bestFit="1" customWidth="1"/>
    <col min="7713" max="7936" width="9.140625" style="3"/>
    <col min="7937" max="7937" width="35" style="3" customWidth="1"/>
    <col min="7938" max="7938" width="1.28515625" style="3" customWidth="1"/>
    <col min="7939" max="7939" width="10.85546875" style="3" customWidth="1"/>
    <col min="7940" max="7940" width="1.7109375" style="3" customWidth="1"/>
    <col min="7941" max="7941" width="9.85546875" style="3" customWidth="1"/>
    <col min="7942" max="7942" width="1.42578125" style="3" customWidth="1"/>
    <col min="7943" max="7943" width="10.7109375" style="3" customWidth="1"/>
    <col min="7944" max="7944" width="1.42578125" style="3" customWidth="1"/>
    <col min="7945" max="7945" width="10.42578125" style="3" customWidth="1"/>
    <col min="7946" max="7946" width="1.28515625" style="3" customWidth="1"/>
    <col min="7947" max="7947" width="11.42578125" style="3" customWidth="1"/>
    <col min="7948" max="7948" width="1.28515625" style="3" customWidth="1"/>
    <col min="7949" max="7951" width="0" style="3" hidden="1" customWidth="1"/>
    <col min="7952" max="7952" width="1.28515625" style="3" customWidth="1"/>
    <col min="7953" max="7953" width="10.5703125" style="3" customWidth="1"/>
    <col min="7954" max="7955" width="9.140625" style="3"/>
    <col min="7956" max="7956" width="13.42578125" style="3" customWidth="1"/>
    <col min="7957" max="7957" width="12.85546875" style="3" customWidth="1"/>
    <col min="7958" max="7967" width="1.85546875" style="3" customWidth="1"/>
    <col min="7968" max="7968" width="10.42578125" style="3" bestFit="1" customWidth="1"/>
    <col min="7969" max="8192" width="9.140625" style="3"/>
    <col min="8193" max="8193" width="35" style="3" customWidth="1"/>
    <col min="8194" max="8194" width="1.28515625" style="3" customWidth="1"/>
    <col min="8195" max="8195" width="10.85546875" style="3" customWidth="1"/>
    <col min="8196" max="8196" width="1.7109375" style="3" customWidth="1"/>
    <col min="8197" max="8197" width="9.85546875" style="3" customWidth="1"/>
    <col min="8198" max="8198" width="1.42578125" style="3" customWidth="1"/>
    <col min="8199" max="8199" width="10.7109375" style="3" customWidth="1"/>
    <col min="8200" max="8200" width="1.42578125" style="3" customWidth="1"/>
    <col min="8201" max="8201" width="10.42578125" style="3" customWidth="1"/>
    <col min="8202" max="8202" width="1.28515625" style="3" customWidth="1"/>
    <col min="8203" max="8203" width="11.42578125" style="3" customWidth="1"/>
    <col min="8204" max="8204" width="1.28515625" style="3" customWidth="1"/>
    <col min="8205" max="8207" width="0" style="3" hidden="1" customWidth="1"/>
    <col min="8208" max="8208" width="1.28515625" style="3" customWidth="1"/>
    <col min="8209" max="8209" width="10.5703125" style="3" customWidth="1"/>
    <col min="8210" max="8211" width="9.140625" style="3"/>
    <col min="8212" max="8212" width="13.42578125" style="3" customWidth="1"/>
    <col min="8213" max="8213" width="12.85546875" style="3" customWidth="1"/>
    <col min="8214" max="8223" width="1.85546875" style="3" customWidth="1"/>
    <col min="8224" max="8224" width="10.42578125" style="3" bestFit="1" customWidth="1"/>
    <col min="8225" max="8448" width="9.140625" style="3"/>
    <col min="8449" max="8449" width="35" style="3" customWidth="1"/>
    <col min="8450" max="8450" width="1.28515625" style="3" customWidth="1"/>
    <col min="8451" max="8451" width="10.85546875" style="3" customWidth="1"/>
    <col min="8452" max="8452" width="1.7109375" style="3" customWidth="1"/>
    <col min="8453" max="8453" width="9.85546875" style="3" customWidth="1"/>
    <col min="8454" max="8454" width="1.42578125" style="3" customWidth="1"/>
    <col min="8455" max="8455" width="10.7109375" style="3" customWidth="1"/>
    <col min="8456" max="8456" width="1.42578125" style="3" customWidth="1"/>
    <col min="8457" max="8457" width="10.42578125" style="3" customWidth="1"/>
    <col min="8458" max="8458" width="1.28515625" style="3" customWidth="1"/>
    <col min="8459" max="8459" width="11.42578125" style="3" customWidth="1"/>
    <col min="8460" max="8460" width="1.28515625" style="3" customWidth="1"/>
    <col min="8461" max="8463" width="0" style="3" hidden="1" customWidth="1"/>
    <col min="8464" max="8464" width="1.28515625" style="3" customWidth="1"/>
    <col min="8465" max="8465" width="10.5703125" style="3" customWidth="1"/>
    <col min="8466" max="8467" width="9.140625" style="3"/>
    <col min="8468" max="8468" width="13.42578125" style="3" customWidth="1"/>
    <col min="8469" max="8469" width="12.85546875" style="3" customWidth="1"/>
    <col min="8470" max="8479" width="1.85546875" style="3" customWidth="1"/>
    <col min="8480" max="8480" width="10.42578125" style="3" bestFit="1" customWidth="1"/>
    <col min="8481" max="8704" width="9.140625" style="3"/>
    <col min="8705" max="8705" width="35" style="3" customWidth="1"/>
    <col min="8706" max="8706" width="1.28515625" style="3" customWidth="1"/>
    <col min="8707" max="8707" width="10.85546875" style="3" customWidth="1"/>
    <col min="8708" max="8708" width="1.7109375" style="3" customWidth="1"/>
    <col min="8709" max="8709" width="9.85546875" style="3" customWidth="1"/>
    <col min="8710" max="8710" width="1.42578125" style="3" customWidth="1"/>
    <col min="8711" max="8711" width="10.7109375" style="3" customWidth="1"/>
    <col min="8712" max="8712" width="1.42578125" style="3" customWidth="1"/>
    <col min="8713" max="8713" width="10.42578125" style="3" customWidth="1"/>
    <col min="8714" max="8714" width="1.28515625" style="3" customWidth="1"/>
    <col min="8715" max="8715" width="11.42578125" style="3" customWidth="1"/>
    <col min="8716" max="8716" width="1.28515625" style="3" customWidth="1"/>
    <col min="8717" max="8719" width="0" style="3" hidden="1" customWidth="1"/>
    <col min="8720" max="8720" width="1.28515625" style="3" customWidth="1"/>
    <col min="8721" max="8721" width="10.5703125" style="3" customWidth="1"/>
    <col min="8722" max="8723" width="9.140625" style="3"/>
    <col min="8724" max="8724" width="13.42578125" style="3" customWidth="1"/>
    <col min="8725" max="8725" width="12.85546875" style="3" customWidth="1"/>
    <col min="8726" max="8735" width="1.85546875" style="3" customWidth="1"/>
    <col min="8736" max="8736" width="10.42578125" style="3" bestFit="1" customWidth="1"/>
    <col min="8737" max="8960" width="9.140625" style="3"/>
    <col min="8961" max="8961" width="35" style="3" customWidth="1"/>
    <col min="8962" max="8962" width="1.28515625" style="3" customWidth="1"/>
    <col min="8963" max="8963" width="10.85546875" style="3" customWidth="1"/>
    <col min="8964" max="8964" width="1.7109375" style="3" customWidth="1"/>
    <col min="8965" max="8965" width="9.85546875" style="3" customWidth="1"/>
    <col min="8966" max="8966" width="1.42578125" style="3" customWidth="1"/>
    <col min="8967" max="8967" width="10.7109375" style="3" customWidth="1"/>
    <col min="8968" max="8968" width="1.42578125" style="3" customWidth="1"/>
    <col min="8969" max="8969" width="10.42578125" style="3" customWidth="1"/>
    <col min="8970" max="8970" width="1.28515625" style="3" customWidth="1"/>
    <col min="8971" max="8971" width="11.42578125" style="3" customWidth="1"/>
    <col min="8972" max="8972" width="1.28515625" style="3" customWidth="1"/>
    <col min="8973" max="8975" width="0" style="3" hidden="1" customWidth="1"/>
    <col min="8976" max="8976" width="1.28515625" style="3" customWidth="1"/>
    <col min="8977" max="8977" width="10.5703125" style="3" customWidth="1"/>
    <col min="8978" max="8979" width="9.140625" style="3"/>
    <col min="8980" max="8980" width="13.42578125" style="3" customWidth="1"/>
    <col min="8981" max="8981" width="12.85546875" style="3" customWidth="1"/>
    <col min="8982" max="8991" width="1.85546875" style="3" customWidth="1"/>
    <col min="8992" max="8992" width="10.42578125" style="3" bestFit="1" customWidth="1"/>
    <col min="8993" max="9216" width="9.140625" style="3"/>
    <col min="9217" max="9217" width="35" style="3" customWidth="1"/>
    <col min="9218" max="9218" width="1.28515625" style="3" customWidth="1"/>
    <col min="9219" max="9219" width="10.85546875" style="3" customWidth="1"/>
    <col min="9220" max="9220" width="1.7109375" style="3" customWidth="1"/>
    <col min="9221" max="9221" width="9.85546875" style="3" customWidth="1"/>
    <col min="9222" max="9222" width="1.42578125" style="3" customWidth="1"/>
    <col min="9223" max="9223" width="10.7109375" style="3" customWidth="1"/>
    <col min="9224" max="9224" width="1.42578125" style="3" customWidth="1"/>
    <col min="9225" max="9225" width="10.42578125" style="3" customWidth="1"/>
    <col min="9226" max="9226" width="1.28515625" style="3" customWidth="1"/>
    <col min="9227" max="9227" width="11.42578125" style="3" customWidth="1"/>
    <col min="9228" max="9228" width="1.28515625" style="3" customWidth="1"/>
    <col min="9229" max="9231" width="0" style="3" hidden="1" customWidth="1"/>
    <col min="9232" max="9232" width="1.28515625" style="3" customWidth="1"/>
    <col min="9233" max="9233" width="10.5703125" style="3" customWidth="1"/>
    <col min="9234" max="9235" width="9.140625" style="3"/>
    <col min="9236" max="9236" width="13.42578125" style="3" customWidth="1"/>
    <col min="9237" max="9237" width="12.85546875" style="3" customWidth="1"/>
    <col min="9238" max="9247" width="1.85546875" style="3" customWidth="1"/>
    <col min="9248" max="9248" width="10.42578125" style="3" bestFit="1" customWidth="1"/>
    <col min="9249" max="9472" width="9.140625" style="3"/>
    <col min="9473" max="9473" width="35" style="3" customWidth="1"/>
    <col min="9474" max="9474" width="1.28515625" style="3" customWidth="1"/>
    <col min="9475" max="9475" width="10.85546875" style="3" customWidth="1"/>
    <col min="9476" max="9476" width="1.7109375" style="3" customWidth="1"/>
    <col min="9477" max="9477" width="9.85546875" style="3" customWidth="1"/>
    <col min="9478" max="9478" width="1.42578125" style="3" customWidth="1"/>
    <col min="9479" max="9479" width="10.7109375" style="3" customWidth="1"/>
    <col min="9480" max="9480" width="1.42578125" style="3" customWidth="1"/>
    <col min="9481" max="9481" width="10.42578125" style="3" customWidth="1"/>
    <col min="9482" max="9482" width="1.28515625" style="3" customWidth="1"/>
    <col min="9483" max="9483" width="11.42578125" style="3" customWidth="1"/>
    <col min="9484" max="9484" width="1.28515625" style="3" customWidth="1"/>
    <col min="9485" max="9487" width="0" style="3" hidden="1" customWidth="1"/>
    <col min="9488" max="9488" width="1.28515625" style="3" customWidth="1"/>
    <col min="9489" max="9489" width="10.5703125" style="3" customWidth="1"/>
    <col min="9490" max="9491" width="9.140625" style="3"/>
    <col min="9492" max="9492" width="13.42578125" style="3" customWidth="1"/>
    <col min="9493" max="9493" width="12.85546875" style="3" customWidth="1"/>
    <col min="9494" max="9503" width="1.85546875" style="3" customWidth="1"/>
    <col min="9504" max="9504" width="10.42578125" style="3" bestFit="1" customWidth="1"/>
    <col min="9505" max="9728" width="9.140625" style="3"/>
    <col min="9729" max="9729" width="35" style="3" customWidth="1"/>
    <col min="9730" max="9730" width="1.28515625" style="3" customWidth="1"/>
    <col min="9731" max="9731" width="10.85546875" style="3" customWidth="1"/>
    <col min="9732" max="9732" width="1.7109375" style="3" customWidth="1"/>
    <col min="9733" max="9733" width="9.85546875" style="3" customWidth="1"/>
    <col min="9734" max="9734" width="1.42578125" style="3" customWidth="1"/>
    <col min="9735" max="9735" width="10.7109375" style="3" customWidth="1"/>
    <col min="9736" max="9736" width="1.42578125" style="3" customWidth="1"/>
    <col min="9737" max="9737" width="10.42578125" style="3" customWidth="1"/>
    <col min="9738" max="9738" width="1.28515625" style="3" customWidth="1"/>
    <col min="9739" max="9739" width="11.42578125" style="3" customWidth="1"/>
    <col min="9740" max="9740" width="1.28515625" style="3" customWidth="1"/>
    <col min="9741" max="9743" width="0" style="3" hidden="1" customWidth="1"/>
    <col min="9744" max="9744" width="1.28515625" style="3" customWidth="1"/>
    <col min="9745" max="9745" width="10.5703125" style="3" customWidth="1"/>
    <col min="9746" max="9747" width="9.140625" style="3"/>
    <col min="9748" max="9748" width="13.42578125" style="3" customWidth="1"/>
    <col min="9749" max="9749" width="12.85546875" style="3" customWidth="1"/>
    <col min="9750" max="9759" width="1.85546875" style="3" customWidth="1"/>
    <col min="9760" max="9760" width="10.42578125" style="3" bestFit="1" customWidth="1"/>
    <col min="9761" max="9984" width="9.140625" style="3"/>
    <col min="9985" max="9985" width="35" style="3" customWidth="1"/>
    <col min="9986" max="9986" width="1.28515625" style="3" customWidth="1"/>
    <col min="9987" max="9987" width="10.85546875" style="3" customWidth="1"/>
    <col min="9988" max="9988" width="1.7109375" style="3" customWidth="1"/>
    <col min="9989" max="9989" width="9.85546875" style="3" customWidth="1"/>
    <col min="9990" max="9990" width="1.42578125" style="3" customWidth="1"/>
    <col min="9991" max="9991" width="10.7109375" style="3" customWidth="1"/>
    <col min="9992" max="9992" width="1.42578125" style="3" customWidth="1"/>
    <col min="9993" max="9993" width="10.42578125" style="3" customWidth="1"/>
    <col min="9994" max="9994" width="1.28515625" style="3" customWidth="1"/>
    <col min="9995" max="9995" width="11.42578125" style="3" customWidth="1"/>
    <col min="9996" max="9996" width="1.28515625" style="3" customWidth="1"/>
    <col min="9997" max="9999" width="0" style="3" hidden="1" customWidth="1"/>
    <col min="10000" max="10000" width="1.28515625" style="3" customWidth="1"/>
    <col min="10001" max="10001" width="10.5703125" style="3" customWidth="1"/>
    <col min="10002" max="10003" width="9.140625" style="3"/>
    <col min="10004" max="10004" width="13.42578125" style="3" customWidth="1"/>
    <col min="10005" max="10005" width="12.85546875" style="3" customWidth="1"/>
    <col min="10006" max="10015" width="1.85546875" style="3" customWidth="1"/>
    <col min="10016" max="10016" width="10.42578125" style="3" bestFit="1" customWidth="1"/>
    <col min="10017" max="10240" width="9.140625" style="3"/>
    <col min="10241" max="10241" width="35" style="3" customWidth="1"/>
    <col min="10242" max="10242" width="1.28515625" style="3" customWidth="1"/>
    <col min="10243" max="10243" width="10.85546875" style="3" customWidth="1"/>
    <col min="10244" max="10244" width="1.7109375" style="3" customWidth="1"/>
    <col min="10245" max="10245" width="9.85546875" style="3" customWidth="1"/>
    <col min="10246" max="10246" width="1.42578125" style="3" customWidth="1"/>
    <col min="10247" max="10247" width="10.7109375" style="3" customWidth="1"/>
    <col min="10248" max="10248" width="1.42578125" style="3" customWidth="1"/>
    <col min="10249" max="10249" width="10.42578125" style="3" customWidth="1"/>
    <col min="10250" max="10250" width="1.28515625" style="3" customWidth="1"/>
    <col min="10251" max="10251" width="11.42578125" style="3" customWidth="1"/>
    <col min="10252" max="10252" width="1.28515625" style="3" customWidth="1"/>
    <col min="10253" max="10255" width="0" style="3" hidden="1" customWidth="1"/>
    <col min="10256" max="10256" width="1.28515625" style="3" customWidth="1"/>
    <col min="10257" max="10257" width="10.5703125" style="3" customWidth="1"/>
    <col min="10258" max="10259" width="9.140625" style="3"/>
    <col min="10260" max="10260" width="13.42578125" style="3" customWidth="1"/>
    <col min="10261" max="10261" width="12.85546875" style="3" customWidth="1"/>
    <col min="10262" max="10271" width="1.85546875" style="3" customWidth="1"/>
    <col min="10272" max="10272" width="10.42578125" style="3" bestFit="1" customWidth="1"/>
    <col min="10273" max="10496" width="9.140625" style="3"/>
    <col min="10497" max="10497" width="35" style="3" customWidth="1"/>
    <col min="10498" max="10498" width="1.28515625" style="3" customWidth="1"/>
    <col min="10499" max="10499" width="10.85546875" style="3" customWidth="1"/>
    <col min="10500" max="10500" width="1.7109375" style="3" customWidth="1"/>
    <col min="10501" max="10501" width="9.85546875" style="3" customWidth="1"/>
    <col min="10502" max="10502" width="1.42578125" style="3" customWidth="1"/>
    <col min="10503" max="10503" width="10.7109375" style="3" customWidth="1"/>
    <col min="10504" max="10504" width="1.42578125" style="3" customWidth="1"/>
    <col min="10505" max="10505" width="10.42578125" style="3" customWidth="1"/>
    <col min="10506" max="10506" width="1.28515625" style="3" customWidth="1"/>
    <col min="10507" max="10507" width="11.42578125" style="3" customWidth="1"/>
    <col min="10508" max="10508" width="1.28515625" style="3" customWidth="1"/>
    <col min="10509" max="10511" width="0" style="3" hidden="1" customWidth="1"/>
    <col min="10512" max="10512" width="1.28515625" style="3" customWidth="1"/>
    <col min="10513" max="10513" width="10.5703125" style="3" customWidth="1"/>
    <col min="10514" max="10515" width="9.140625" style="3"/>
    <col min="10516" max="10516" width="13.42578125" style="3" customWidth="1"/>
    <col min="10517" max="10517" width="12.85546875" style="3" customWidth="1"/>
    <col min="10518" max="10527" width="1.85546875" style="3" customWidth="1"/>
    <col min="10528" max="10528" width="10.42578125" style="3" bestFit="1" customWidth="1"/>
    <col min="10529" max="10752" width="9.140625" style="3"/>
    <col min="10753" max="10753" width="35" style="3" customWidth="1"/>
    <col min="10754" max="10754" width="1.28515625" style="3" customWidth="1"/>
    <col min="10755" max="10755" width="10.85546875" style="3" customWidth="1"/>
    <col min="10756" max="10756" width="1.7109375" style="3" customWidth="1"/>
    <col min="10757" max="10757" width="9.85546875" style="3" customWidth="1"/>
    <col min="10758" max="10758" width="1.42578125" style="3" customWidth="1"/>
    <col min="10759" max="10759" width="10.7109375" style="3" customWidth="1"/>
    <col min="10760" max="10760" width="1.42578125" style="3" customWidth="1"/>
    <col min="10761" max="10761" width="10.42578125" style="3" customWidth="1"/>
    <col min="10762" max="10762" width="1.28515625" style="3" customWidth="1"/>
    <col min="10763" max="10763" width="11.42578125" style="3" customWidth="1"/>
    <col min="10764" max="10764" width="1.28515625" style="3" customWidth="1"/>
    <col min="10765" max="10767" width="0" style="3" hidden="1" customWidth="1"/>
    <col min="10768" max="10768" width="1.28515625" style="3" customWidth="1"/>
    <col min="10769" max="10769" width="10.5703125" style="3" customWidth="1"/>
    <col min="10770" max="10771" width="9.140625" style="3"/>
    <col min="10772" max="10772" width="13.42578125" style="3" customWidth="1"/>
    <col min="10773" max="10773" width="12.85546875" style="3" customWidth="1"/>
    <col min="10774" max="10783" width="1.85546875" style="3" customWidth="1"/>
    <col min="10784" max="10784" width="10.42578125" style="3" bestFit="1" customWidth="1"/>
    <col min="10785" max="11008" width="9.140625" style="3"/>
    <col min="11009" max="11009" width="35" style="3" customWidth="1"/>
    <col min="11010" max="11010" width="1.28515625" style="3" customWidth="1"/>
    <col min="11011" max="11011" width="10.85546875" style="3" customWidth="1"/>
    <col min="11012" max="11012" width="1.7109375" style="3" customWidth="1"/>
    <col min="11013" max="11013" width="9.85546875" style="3" customWidth="1"/>
    <col min="11014" max="11014" width="1.42578125" style="3" customWidth="1"/>
    <col min="11015" max="11015" width="10.7109375" style="3" customWidth="1"/>
    <col min="11016" max="11016" width="1.42578125" style="3" customWidth="1"/>
    <col min="11017" max="11017" width="10.42578125" style="3" customWidth="1"/>
    <col min="11018" max="11018" width="1.28515625" style="3" customWidth="1"/>
    <col min="11019" max="11019" width="11.42578125" style="3" customWidth="1"/>
    <col min="11020" max="11020" width="1.28515625" style="3" customWidth="1"/>
    <col min="11021" max="11023" width="0" style="3" hidden="1" customWidth="1"/>
    <col min="11024" max="11024" width="1.28515625" style="3" customWidth="1"/>
    <col min="11025" max="11025" width="10.5703125" style="3" customWidth="1"/>
    <col min="11026" max="11027" width="9.140625" style="3"/>
    <col min="11028" max="11028" width="13.42578125" style="3" customWidth="1"/>
    <col min="11029" max="11029" width="12.85546875" style="3" customWidth="1"/>
    <col min="11030" max="11039" width="1.85546875" style="3" customWidth="1"/>
    <col min="11040" max="11040" width="10.42578125" style="3" bestFit="1" customWidth="1"/>
    <col min="11041" max="11264" width="9.140625" style="3"/>
    <col min="11265" max="11265" width="35" style="3" customWidth="1"/>
    <col min="11266" max="11266" width="1.28515625" style="3" customWidth="1"/>
    <col min="11267" max="11267" width="10.85546875" style="3" customWidth="1"/>
    <col min="11268" max="11268" width="1.7109375" style="3" customWidth="1"/>
    <col min="11269" max="11269" width="9.85546875" style="3" customWidth="1"/>
    <col min="11270" max="11270" width="1.42578125" style="3" customWidth="1"/>
    <col min="11271" max="11271" width="10.7109375" style="3" customWidth="1"/>
    <col min="11272" max="11272" width="1.42578125" style="3" customWidth="1"/>
    <col min="11273" max="11273" width="10.42578125" style="3" customWidth="1"/>
    <col min="11274" max="11274" width="1.28515625" style="3" customWidth="1"/>
    <col min="11275" max="11275" width="11.42578125" style="3" customWidth="1"/>
    <col min="11276" max="11276" width="1.28515625" style="3" customWidth="1"/>
    <col min="11277" max="11279" width="0" style="3" hidden="1" customWidth="1"/>
    <col min="11280" max="11280" width="1.28515625" style="3" customWidth="1"/>
    <col min="11281" max="11281" width="10.5703125" style="3" customWidth="1"/>
    <col min="11282" max="11283" width="9.140625" style="3"/>
    <col min="11284" max="11284" width="13.42578125" style="3" customWidth="1"/>
    <col min="11285" max="11285" width="12.85546875" style="3" customWidth="1"/>
    <col min="11286" max="11295" width="1.85546875" style="3" customWidth="1"/>
    <col min="11296" max="11296" width="10.42578125" style="3" bestFit="1" customWidth="1"/>
    <col min="11297" max="11520" width="9.140625" style="3"/>
    <col min="11521" max="11521" width="35" style="3" customWidth="1"/>
    <col min="11522" max="11522" width="1.28515625" style="3" customWidth="1"/>
    <col min="11523" max="11523" width="10.85546875" style="3" customWidth="1"/>
    <col min="11524" max="11524" width="1.7109375" style="3" customWidth="1"/>
    <col min="11525" max="11525" width="9.85546875" style="3" customWidth="1"/>
    <col min="11526" max="11526" width="1.42578125" style="3" customWidth="1"/>
    <col min="11527" max="11527" width="10.7109375" style="3" customWidth="1"/>
    <col min="11528" max="11528" width="1.42578125" style="3" customWidth="1"/>
    <col min="11529" max="11529" width="10.42578125" style="3" customWidth="1"/>
    <col min="11530" max="11530" width="1.28515625" style="3" customWidth="1"/>
    <col min="11531" max="11531" width="11.42578125" style="3" customWidth="1"/>
    <col min="11532" max="11532" width="1.28515625" style="3" customWidth="1"/>
    <col min="11533" max="11535" width="0" style="3" hidden="1" customWidth="1"/>
    <col min="11536" max="11536" width="1.28515625" style="3" customWidth="1"/>
    <col min="11537" max="11537" width="10.5703125" style="3" customWidth="1"/>
    <col min="11538" max="11539" width="9.140625" style="3"/>
    <col min="11540" max="11540" width="13.42578125" style="3" customWidth="1"/>
    <col min="11541" max="11541" width="12.85546875" style="3" customWidth="1"/>
    <col min="11542" max="11551" width="1.85546875" style="3" customWidth="1"/>
    <col min="11552" max="11552" width="10.42578125" style="3" bestFit="1" customWidth="1"/>
    <col min="11553" max="11776" width="9.140625" style="3"/>
    <col min="11777" max="11777" width="35" style="3" customWidth="1"/>
    <col min="11778" max="11778" width="1.28515625" style="3" customWidth="1"/>
    <col min="11779" max="11779" width="10.85546875" style="3" customWidth="1"/>
    <col min="11780" max="11780" width="1.7109375" style="3" customWidth="1"/>
    <col min="11781" max="11781" width="9.85546875" style="3" customWidth="1"/>
    <col min="11782" max="11782" width="1.42578125" style="3" customWidth="1"/>
    <col min="11783" max="11783" width="10.7109375" style="3" customWidth="1"/>
    <col min="11784" max="11784" width="1.42578125" style="3" customWidth="1"/>
    <col min="11785" max="11785" width="10.42578125" style="3" customWidth="1"/>
    <col min="11786" max="11786" width="1.28515625" style="3" customWidth="1"/>
    <col min="11787" max="11787" width="11.42578125" style="3" customWidth="1"/>
    <col min="11788" max="11788" width="1.28515625" style="3" customWidth="1"/>
    <col min="11789" max="11791" width="0" style="3" hidden="1" customWidth="1"/>
    <col min="11792" max="11792" width="1.28515625" style="3" customWidth="1"/>
    <col min="11793" max="11793" width="10.5703125" style="3" customWidth="1"/>
    <col min="11794" max="11795" width="9.140625" style="3"/>
    <col min="11796" max="11796" width="13.42578125" style="3" customWidth="1"/>
    <col min="11797" max="11797" width="12.85546875" style="3" customWidth="1"/>
    <col min="11798" max="11807" width="1.85546875" style="3" customWidth="1"/>
    <col min="11808" max="11808" width="10.42578125" style="3" bestFit="1" customWidth="1"/>
    <col min="11809" max="12032" width="9.140625" style="3"/>
    <col min="12033" max="12033" width="35" style="3" customWidth="1"/>
    <col min="12034" max="12034" width="1.28515625" style="3" customWidth="1"/>
    <col min="12035" max="12035" width="10.85546875" style="3" customWidth="1"/>
    <col min="12036" max="12036" width="1.7109375" style="3" customWidth="1"/>
    <col min="12037" max="12037" width="9.85546875" style="3" customWidth="1"/>
    <col min="12038" max="12038" width="1.42578125" style="3" customWidth="1"/>
    <col min="12039" max="12039" width="10.7109375" style="3" customWidth="1"/>
    <col min="12040" max="12040" width="1.42578125" style="3" customWidth="1"/>
    <col min="12041" max="12041" width="10.42578125" style="3" customWidth="1"/>
    <col min="12042" max="12042" width="1.28515625" style="3" customWidth="1"/>
    <col min="12043" max="12043" width="11.42578125" style="3" customWidth="1"/>
    <col min="12044" max="12044" width="1.28515625" style="3" customWidth="1"/>
    <col min="12045" max="12047" width="0" style="3" hidden="1" customWidth="1"/>
    <col min="12048" max="12048" width="1.28515625" style="3" customWidth="1"/>
    <col min="12049" max="12049" width="10.5703125" style="3" customWidth="1"/>
    <col min="12050" max="12051" width="9.140625" style="3"/>
    <col min="12052" max="12052" width="13.42578125" style="3" customWidth="1"/>
    <col min="12053" max="12053" width="12.85546875" style="3" customWidth="1"/>
    <col min="12054" max="12063" width="1.85546875" style="3" customWidth="1"/>
    <col min="12064" max="12064" width="10.42578125" style="3" bestFit="1" customWidth="1"/>
    <col min="12065" max="12288" width="9.140625" style="3"/>
    <col min="12289" max="12289" width="35" style="3" customWidth="1"/>
    <col min="12290" max="12290" width="1.28515625" style="3" customWidth="1"/>
    <col min="12291" max="12291" width="10.85546875" style="3" customWidth="1"/>
    <col min="12292" max="12292" width="1.7109375" style="3" customWidth="1"/>
    <col min="12293" max="12293" width="9.85546875" style="3" customWidth="1"/>
    <col min="12294" max="12294" width="1.42578125" style="3" customWidth="1"/>
    <col min="12295" max="12295" width="10.7109375" style="3" customWidth="1"/>
    <col min="12296" max="12296" width="1.42578125" style="3" customWidth="1"/>
    <col min="12297" max="12297" width="10.42578125" style="3" customWidth="1"/>
    <col min="12298" max="12298" width="1.28515625" style="3" customWidth="1"/>
    <col min="12299" max="12299" width="11.42578125" style="3" customWidth="1"/>
    <col min="12300" max="12300" width="1.28515625" style="3" customWidth="1"/>
    <col min="12301" max="12303" width="0" style="3" hidden="1" customWidth="1"/>
    <col min="12304" max="12304" width="1.28515625" style="3" customWidth="1"/>
    <col min="12305" max="12305" width="10.5703125" style="3" customWidth="1"/>
    <col min="12306" max="12307" width="9.140625" style="3"/>
    <col min="12308" max="12308" width="13.42578125" style="3" customWidth="1"/>
    <col min="12309" max="12309" width="12.85546875" style="3" customWidth="1"/>
    <col min="12310" max="12319" width="1.85546875" style="3" customWidth="1"/>
    <col min="12320" max="12320" width="10.42578125" style="3" bestFit="1" customWidth="1"/>
    <col min="12321" max="12544" width="9.140625" style="3"/>
    <col min="12545" max="12545" width="35" style="3" customWidth="1"/>
    <col min="12546" max="12546" width="1.28515625" style="3" customWidth="1"/>
    <col min="12547" max="12547" width="10.85546875" style="3" customWidth="1"/>
    <col min="12548" max="12548" width="1.7109375" style="3" customWidth="1"/>
    <col min="12549" max="12549" width="9.85546875" style="3" customWidth="1"/>
    <col min="12550" max="12550" width="1.42578125" style="3" customWidth="1"/>
    <col min="12551" max="12551" width="10.7109375" style="3" customWidth="1"/>
    <col min="12552" max="12552" width="1.42578125" style="3" customWidth="1"/>
    <col min="12553" max="12553" width="10.42578125" style="3" customWidth="1"/>
    <col min="12554" max="12554" width="1.28515625" style="3" customWidth="1"/>
    <col min="12555" max="12555" width="11.42578125" style="3" customWidth="1"/>
    <col min="12556" max="12556" width="1.28515625" style="3" customWidth="1"/>
    <col min="12557" max="12559" width="0" style="3" hidden="1" customWidth="1"/>
    <col min="12560" max="12560" width="1.28515625" style="3" customWidth="1"/>
    <col min="12561" max="12561" width="10.5703125" style="3" customWidth="1"/>
    <col min="12562" max="12563" width="9.140625" style="3"/>
    <col min="12564" max="12564" width="13.42578125" style="3" customWidth="1"/>
    <col min="12565" max="12565" width="12.85546875" style="3" customWidth="1"/>
    <col min="12566" max="12575" width="1.85546875" style="3" customWidth="1"/>
    <col min="12576" max="12576" width="10.42578125" style="3" bestFit="1" customWidth="1"/>
    <col min="12577" max="12800" width="9.140625" style="3"/>
    <col min="12801" max="12801" width="35" style="3" customWidth="1"/>
    <col min="12802" max="12802" width="1.28515625" style="3" customWidth="1"/>
    <col min="12803" max="12803" width="10.85546875" style="3" customWidth="1"/>
    <col min="12804" max="12804" width="1.7109375" style="3" customWidth="1"/>
    <col min="12805" max="12805" width="9.85546875" style="3" customWidth="1"/>
    <col min="12806" max="12806" width="1.42578125" style="3" customWidth="1"/>
    <col min="12807" max="12807" width="10.7109375" style="3" customWidth="1"/>
    <col min="12808" max="12808" width="1.42578125" style="3" customWidth="1"/>
    <col min="12809" max="12809" width="10.42578125" style="3" customWidth="1"/>
    <col min="12810" max="12810" width="1.28515625" style="3" customWidth="1"/>
    <col min="12811" max="12811" width="11.42578125" style="3" customWidth="1"/>
    <col min="12812" max="12812" width="1.28515625" style="3" customWidth="1"/>
    <col min="12813" max="12815" width="0" style="3" hidden="1" customWidth="1"/>
    <col min="12816" max="12816" width="1.28515625" style="3" customWidth="1"/>
    <col min="12817" max="12817" width="10.5703125" style="3" customWidth="1"/>
    <col min="12818" max="12819" width="9.140625" style="3"/>
    <col min="12820" max="12820" width="13.42578125" style="3" customWidth="1"/>
    <col min="12821" max="12821" width="12.85546875" style="3" customWidth="1"/>
    <col min="12822" max="12831" width="1.85546875" style="3" customWidth="1"/>
    <col min="12832" max="12832" width="10.42578125" style="3" bestFit="1" customWidth="1"/>
    <col min="12833" max="13056" width="9.140625" style="3"/>
    <col min="13057" max="13057" width="35" style="3" customWidth="1"/>
    <col min="13058" max="13058" width="1.28515625" style="3" customWidth="1"/>
    <col min="13059" max="13059" width="10.85546875" style="3" customWidth="1"/>
    <col min="13060" max="13060" width="1.7109375" style="3" customWidth="1"/>
    <col min="13061" max="13061" width="9.85546875" style="3" customWidth="1"/>
    <col min="13062" max="13062" width="1.42578125" style="3" customWidth="1"/>
    <col min="13063" max="13063" width="10.7109375" style="3" customWidth="1"/>
    <col min="13064" max="13064" width="1.42578125" style="3" customWidth="1"/>
    <col min="13065" max="13065" width="10.42578125" style="3" customWidth="1"/>
    <col min="13066" max="13066" width="1.28515625" style="3" customWidth="1"/>
    <col min="13067" max="13067" width="11.42578125" style="3" customWidth="1"/>
    <col min="13068" max="13068" width="1.28515625" style="3" customWidth="1"/>
    <col min="13069" max="13071" width="0" style="3" hidden="1" customWidth="1"/>
    <col min="13072" max="13072" width="1.28515625" style="3" customWidth="1"/>
    <col min="13073" max="13073" width="10.5703125" style="3" customWidth="1"/>
    <col min="13074" max="13075" width="9.140625" style="3"/>
    <col min="13076" max="13076" width="13.42578125" style="3" customWidth="1"/>
    <col min="13077" max="13077" width="12.85546875" style="3" customWidth="1"/>
    <col min="13078" max="13087" width="1.85546875" style="3" customWidth="1"/>
    <col min="13088" max="13088" width="10.42578125" style="3" bestFit="1" customWidth="1"/>
    <col min="13089" max="13312" width="9.140625" style="3"/>
    <col min="13313" max="13313" width="35" style="3" customWidth="1"/>
    <col min="13314" max="13314" width="1.28515625" style="3" customWidth="1"/>
    <col min="13315" max="13315" width="10.85546875" style="3" customWidth="1"/>
    <col min="13316" max="13316" width="1.7109375" style="3" customWidth="1"/>
    <col min="13317" max="13317" width="9.85546875" style="3" customWidth="1"/>
    <col min="13318" max="13318" width="1.42578125" style="3" customWidth="1"/>
    <col min="13319" max="13319" width="10.7109375" style="3" customWidth="1"/>
    <col min="13320" max="13320" width="1.42578125" style="3" customWidth="1"/>
    <col min="13321" max="13321" width="10.42578125" style="3" customWidth="1"/>
    <col min="13322" max="13322" width="1.28515625" style="3" customWidth="1"/>
    <col min="13323" max="13323" width="11.42578125" style="3" customWidth="1"/>
    <col min="13324" max="13324" width="1.28515625" style="3" customWidth="1"/>
    <col min="13325" max="13327" width="0" style="3" hidden="1" customWidth="1"/>
    <col min="13328" max="13328" width="1.28515625" style="3" customWidth="1"/>
    <col min="13329" max="13329" width="10.5703125" style="3" customWidth="1"/>
    <col min="13330" max="13331" width="9.140625" style="3"/>
    <col min="13332" max="13332" width="13.42578125" style="3" customWidth="1"/>
    <col min="13333" max="13333" width="12.85546875" style="3" customWidth="1"/>
    <col min="13334" max="13343" width="1.85546875" style="3" customWidth="1"/>
    <col min="13344" max="13344" width="10.42578125" style="3" bestFit="1" customWidth="1"/>
    <col min="13345" max="13568" width="9.140625" style="3"/>
    <col min="13569" max="13569" width="35" style="3" customWidth="1"/>
    <col min="13570" max="13570" width="1.28515625" style="3" customWidth="1"/>
    <col min="13571" max="13571" width="10.85546875" style="3" customWidth="1"/>
    <col min="13572" max="13572" width="1.7109375" style="3" customWidth="1"/>
    <col min="13573" max="13573" width="9.85546875" style="3" customWidth="1"/>
    <col min="13574" max="13574" width="1.42578125" style="3" customWidth="1"/>
    <col min="13575" max="13575" width="10.7109375" style="3" customWidth="1"/>
    <col min="13576" max="13576" width="1.42578125" style="3" customWidth="1"/>
    <col min="13577" max="13577" width="10.42578125" style="3" customWidth="1"/>
    <col min="13578" max="13578" width="1.28515625" style="3" customWidth="1"/>
    <col min="13579" max="13579" width="11.42578125" style="3" customWidth="1"/>
    <col min="13580" max="13580" width="1.28515625" style="3" customWidth="1"/>
    <col min="13581" max="13583" width="0" style="3" hidden="1" customWidth="1"/>
    <col min="13584" max="13584" width="1.28515625" style="3" customWidth="1"/>
    <col min="13585" max="13585" width="10.5703125" style="3" customWidth="1"/>
    <col min="13586" max="13587" width="9.140625" style="3"/>
    <col min="13588" max="13588" width="13.42578125" style="3" customWidth="1"/>
    <col min="13589" max="13589" width="12.85546875" style="3" customWidth="1"/>
    <col min="13590" max="13599" width="1.85546875" style="3" customWidth="1"/>
    <col min="13600" max="13600" width="10.42578125" style="3" bestFit="1" customWidth="1"/>
    <col min="13601" max="13824" width="9.140625" style="3"/>
    <col min="13825" max="13825" width="35" style="3" customWidth="1"/>
    <col min="13826" max="13826" width="1.28515625" style="3" customWidth="1"/>
    <col min="13827" max="13827" width="10.85546875" style="3" customWidth="1"/>
    <col min="13828" max="13828" width="1.7109375" style="3" customWidth="1"/>
    <col min="13829" max="13829" width="9.85546875" style="3" customWidth="1"/>
    <col min="13830" max="13830" width="1.42578125" style="3" customWidth="1"/>
    <col min="13831" max="13831" width="10.7109375" style="3" customWidth="1"/>
    <col min="13832" max="13832" width="1.42578125" style="3" customWidth="1"/>
    <col min="13833" max="13833" width="10.42578125" style="3" customWidth="1"/>
    <col min="13834" max="13834" width="1.28515625" style="3" customWidth="1"/>
    <col min="13835" max="13835" width="11.42578125" style="3" customWidth="1"/>
    <col min="13836" max="13836" width="1.28515625" style="3" customWidth="1"/>
    <col min="13837" max="13839" width="0" style="3" hidden="1" customWidth="1"/>
    <col min="13840" max="13840" width="1.28515625" style="3" customWidth="1"/>
    <col min="13841" max="13841" width="10.5703125" style="3" customWidth="1"/>
    <col min="13842" max="13843" width="9.140625" style="3"/>
    <col min="13844" max="13844" width="13.42578125" style="3" customWidth="1"/>
    <col min="13845" max="13845" width="12.85546875" style="3" customWidth="1"/>
    <col min="13846" max="13855" width="1.85546875" style="3" customWidth="1"/>
    <col min="13856" max="13856" width="10.42578125" style="3" bestFit="1" customWidth="1"/>
    <col min="13857" max="14080" width="9.140625" style="3"/>
    <col min="14081" max="14081" width="35" style="3" customWidth="1"/>
    <col min="14082" max="14082" width="1.28515625" style="3" customWidth="1"/>
    <col min="14083" max="14083" width="10.85546875" style="3" customWidth="1"/>
    <col min="14084" max="14084" width="1.7109375" style="3" customWidth="1"/>
    <col min="14085" max="14085" width="9.85546875" style="3" customWidth="1"/>
    <col min="14086" max="14086" width="1.42578125" style="3" customWidth="1"/>
    <col min="14087" max="14087" width="10.7109375" style="3" customWidth="1"/>
    <col min="14088" max="14088" width="1.42578125" style="3" customWidth="1"/>
    <col min="14089" max="14089" width="10.42578125" style="3" customWidth="1"/>
    <col min="14090" max="14090" width="1.28515625" style="3" customWidth="1"/>
    <col min="14091" max="14091" width="11.42578125" style="3" customWidth="1"/>
    <col min="14092" max="14092" width="1.28515625" style="3" customWidth="1"/>
    <col min="14093" max="14095" width="0" style="3" hidden="1" customWidth="1"/>
    <col min="14096" max="14096" width="1.28515625" style="3" customWidth="1"/>
    <col min="14097" max="14097" width="10.5703125" style="3" customWidth="1"/>
    <col min="14098" max="14099" width="9.140625" style="3"/>
    <col min="14100" max="14100" width="13.42578125" style="3" customWidth="1"/>
    <col min="14101" max="14101" width="12.85546875" style="3" customWidth="1"/>
    <col min="14102" max="14111" width="1.85546875" style="3" customWidth="1"/>
    <col min="14112" max="14112" width="10.42578125" style="3" bestFit="1" customWidth="1"/>
    <col min="14113" max="14336" width="9.140625" style="3"/>
    <col min="14337" max="14337" width="35" style="3" customWidth="1"/>
    <col min="14338" max="14338" width="1.28515625" style="3" customWidth="1"/>
    <col min="14339" max="14339" width="10.85546875" style="3" customWidth="1"/>
    <col min="14340" max="14340" width="1.7109375" style="3" customWidth="1"/>
    <col min="14341" max="14341" width="9.85546875" style="3" customWidth="1"/>
    <col min="14342" max="14342" width="1.42578125" style="3" customWidth="1"/>
    <col min="14343" max="14343" width="10.7109375" style="3" customWidth="1"/>
    <col min="14344" max="14344" width="1.42578125" style="3" customWidth="1"/>
    <col min="14345" max="14345" width="10.42578125" style="3" customWidth="1"/>
    <col min="14346" max="14346" width="1.28515625" style="3" customWidth="1"/>
    <col min="14347" max="14347" width="11.42578125" style="3" customWidth="1"/>
    <col min="14348" max="14348" width="1.28515625" style="3" customWidth="1"/>
    <col min="14349" max="14351" width="0" style="3" hidden="1" customWidth="1"/>
    <col min="14352" max="14352" width="1.28515625" style="3" customWidth="1"/>
    <col min="14353" max="14353" width="10.5703125" style="3" customWidth="1"/>
    <col min="14354" max="14355" width="9.140625" style="3"/>
    <col min="14356" max="14356" width="13.42578125" style="3" customWidth="1"/>
    <col min="14357" max="14357" width="12.85546875" style="3" customWidth="1"/>
    <col min="14358" max="14367" width="1.85546875" style="3" customWidth="1"/>
    <col min="14368" max="14368" width="10.42578125" style="3" bestFit="1" customWidth="1"/>
    <col min="14369" max="14592" width="9.140625" style="3"/>
    <col min="14593" max="14593" width="35" style="3" customWidth="1"/>
    <col min="14594" max="14594" width="1.28515625" style="3" customWidth="1"/>
    <col min="14595" max="14595" width="10.85546875" style="3" customWidth="1"/>
    <col min="14596" max="14596" width="1.7109375" style="3" customWidth="1"/>
    <col min="14597" max="14597" width="9.85546875" style="3" customWidth="1"/>
    <col min="14598" max="14598" width="1.42578125" style="3" customWidth="1"/>
    <col min="14599" max="14599" width="10.7109375" style="3" customWidth="1"/>
    <col min="14600" max="14600" width="1.42578125" style="3" customWidth="1"/>
    <col min="14601" max="14601" width="10.42578125" style="3" customWidth="1"/>
    <col min="14602" max="14602" width="1.28515625" style="3" customWidth="1"/>
    <col min="14603" max="14603" width="11.42578125" style="3" customWidth="1"/>
    <col min="14604" max="14604" width="1.28515625" style="3" customWidth="1"/>
    <col min="14605" max="14607" width="0" style="3" hidden="1" customWidth="1"/>
    <col min="14608" max="14608" width="1.28515625" style="3" customWidth="1"/>
    <col min="14609" max="14609" width="10.5703125" style="3" customWidth="1"/>
    <col min="14610" max="14611" width="9.140625" style="3"/>
    <col min="14612" max="14612" width="13.42578125" style="3" customWidth="1"/>
    <col min="14613" max="14613" width="12.85546875" style="3" customWidth="1"/>
    <col min="14614" max="14623" width="1.85546875" style="3" customWidth="1"/>
    <col min="14624" max="14624" width="10.42578125" style="3" bestFit="1" customWidth="1"/>
    <col min="14625" max="14848" width="9.140625" style="3"/>
    <col min="14849" max="14849" width="35" style="3" customWidth="1"/>
    <col min="14850" max="14850" width="1.28515625" style="3" customWidth="1"/>
    <col min="14851" max="14851" width="10.85546875" style="3" customWidth="1"/>
    <col min="14852" max="14852" width="1.7109375" style="3" customWidth="1"/>
    <col min="14853" max="14853" width="9.85546875" style="3" customWidth="1"/>
    <col min="14854" max="14854" width="1.42578125" style="3" customWidth="1"/>
    <col min="14855" max="14855" width="10.7109375" style="3" customWidth="1"/>
    <col min="14856" max="14856" width="1.42578125" style="3" customWidth="1"/>
    <col min="14857" max="14857" width="10.42578125" style="3" customWidth="1"/>
    <col min="14858" max="14858" width="1.28515625" style="3" customWidth="1"/>
    <col min="14859" max="14859" width="11.42578125" style="3" customWidth="1"/>
    <col min="14860" max="14860" width="1.28515625" style="3" customWidth="1"/>
    <col min="14861" max="14863" width="0" style="3" hidden="1" customWidth="1"/>
    <col min="14864" max="14864" width="1.28515625" style="3" customWidth="1"/>
    <col min="14865" max="14865" width="10.5703125" style="3" customWidth="1"/>
    <col min="14866" max="14867" width="9.140625" style="3"/>
    <col min="14868" max="14868" width="13.42578125" style="3" customWidth="1"/>
    <col min="14869" max="14869" width="12.85546875" style="3" customWidth="1"/>
    <col min="14870" max="14879" width="1.85546875" style="3" customWidth="1"/>
    <col min="14880" max="14880" width="10.42578125" style="3" bestFit="1" customWidth="1"/>
    <col min="14881" max="15104" width="9.140625" style="3"/>
    <col min="15105" max="15105" width="35" style="3" customWidth="1"/>
    <col min="15106" max="15106" width="1.28515625" style="3" customWidth="1"/>
    <col min="15107" max="15107" width="10.85546875" style="3" customWidth="1"/>
    <col min="15108" max="15108" width="1.7109375" style="3" customWidth="1"/>
    <col min="15109" max="15109" width="9.85546875" style="3" customWidth="1"/>
    <col min="15110" max="15110" width="1.42578125" style="3" customWidth="1"/>
    <col min="15111" max="15111" width="10.7109375" style="3" customWidth="1"/>
    <col min="15112" max="15112" width="1.42578125" style="3" customWidth="1"/>
    <col min="15113" max="15113" width="10.42578125" style="3" customWidth="1"/>
    <col min="15114" max="15114" width="1.28515625" style="3" customWidth="1"/>
    <col min="15115" max="15115" width="11.42578125" style="3" customWidth="1"/>
    <col min="15116" max="15116" width="1.28515625" style="3" customWidth="1"/>
    <col min="15117" max="15119" width="0" style="3" hidden="1" customWidth="1"/>
    <col min="15120" max="15120" width="1.28515625" style="3" customWidth="1"/>
    <col min="15121" max="15121" width="10.5703125" style="3" customWidth="1"/>
    <col min="15122" max="15123" width="9.140625" style="3"/>
    <col min="15124" max="15124" width="13.42578125" style="3" customWidth="1"/>
    <col min="15125" max="15125" width="12.85546875" style="3" customWidth="1"/>
    <col min="15126" max="15135" width="1.85546875" style="3" customWidth="1"/>
    <col min="15136" max="15136" width="10.42578125" style="3" bestFit="1" customWidth="1"/>
    <col min="15137" max="15360" width="9.140625" style="3"/>
    <col min="15361" max="15361" width="35" style="3" customWidth="1"/>
    <col min="15362" max="15362" width="1.28515625" style="3" customWidth="1"/>
    <col min="15363" max="15363" width="10.85546875" style="3" customWidth="1"/>
    <col min="15364" max="15364" width="1.7109375" style="3" customWidth="1"/>
    <col min="15365" max="15365" width="9.85546875" style="3" customWidth="1"/>
    <col min="15366" max="15366" width="1.42578125" style="3" customWidth="1"/>
    <col min="15367" max="15367" width="10.7109375" style="3" customWidth="1"/>
    <col min="15368" max="15368" width="1.42578125" style="3" customWidth="1"/>
    <col min="15369" max="15369" width="10.42578125" style="3" customWidth="1"/>
    <col min="15370" max="15370" width="1.28515625" style="3" customWidth="1"/>
    <col min="15371" max="15371" width="11.42578125" style="3" customWidth="1"/>
    <col min="15372" max="15372" width="1.28515625" style="3" customWidth="1"/>
    <col min="15373" max="15375" width="0" style="3" hidden="1" customWidth="1"/>
    <col min="15376" max="15376" width="1.28515625" style="3" customWidth="1"/>
    <col min="15377" max="15377" width="10.5703125" style="3" customWidth="1"/>
    <col min="15378" max="15379" width="9.140625" style="3"/>
    <col min="15380" max="15380" width="13.42578125" style="3" customWidth="1"/>
    <col min="15381" max="15381" width="12.85546875" style="3" customWidth="1"/>
    <col min="15382" max="15391" width="1.85546875" style="3" customWidth="1"/>
    <col min="15392" max="15392" width="10.42578125" style="3" bestFit="1" customWidth="1"/>
    <col min="15393" max="15616" width="9.140625" style="3"/>
    <col min="15617" max="15617" width="35" style="3" customWidth="1"/>
    <col min="15618" max="15618" width="1.28515625" style="3" customWidth="1"/>
    <col min="15619" max="15619" width="10.85546875" style="3" customWidth="1"/>
    <col min="15620" max="15620" width="1.7109375" style="3" customWidth="1"/>
    <col min="15621" max="15621" width="9.85546875" style="3" customWidth="1"/>
    <col min="15622" max="15622" width="1.42578125" style="3" customWidth="1"/>
    <col min="15623" max="15623" width="10.7109375" style="3" customWidth="1"/>
    <col min="15624" max="15624" width="1.42578125" style="3" customWidth="1"/>
    <col min="15625" max="15625" width="10.42578125" style="3" customWidth="1"/>
    <col min="15626" max="15626" width="1.28515625" style="3" customWidth="1"/>
    <col min="15627" max="15627" width="11.42578125" style="3" customWidth="1"/>
    <col min="15628" max="15628" width="1.28515625" style="3" customWidth="1"/>
    <col min="15629" max="15631" width="0" style="3" hidden="1" customWidth="1"/>
    <col min="15632" max="15632" width="1.28515625" style="3" customWidth="1"/>
    <col min="15633" max="15633" width="10.5703125" style="3" customWidth="1"/>
    <col min="15634" max="15635" width="9.140625" style="3"/>
    <col min="15636" max="15636" width="13.42578125" style="3" customWidth="1"/>
    <col min="15637" max="15637" width="12.85546875" style="3" customWidth="1"/>
    <col min="15638" max="15647" width="1.85546875" style="3" customWidth="1"/>
    <col min="15648" max="15648" width="10.42578125" style="3" bestFit="1" customWidth="1"/>
    <col min="15649" max="15872" width="9.140625" style="3"/>
    <col min="15873" max="15873" width="35" style="3" customWidth="1"/>
    <col min="15874" max="15874" width="1.28515625" style="3" customWidth="1"/>
    <col min="15875" max="15875" width="10.85546875" style="3" customWidth="1"/>
    <col min="15876" max="15876" width="1.7109375" style="3" customWidth="1"/>
    <col min="15877" max="15877" width="9.85546875" style="3" customWidth="1"/>
    <col min="15878" max="15878" width="1.42578125" style="3" customWidth="1"/>
    <col min="15879" max="15879" width="10.7109375" style="3" customWidth="1"/>
    <col min="15880" max="15880" width="1.42578125" style="3" customWidth="1"/>
    <col min="15881" max="15881" width="10.42578125" style="3" customWidth="1"/>
    <col min="15882" max="15882" width="1.28515625" style="3" customWidth="1"/>
    <col min="15883" max="15883" width="11.42578125" style="3" customWidth="1"/>
    <col min="15884" max="15884" width="1.28515625" style="3" customWidth="1"/>
    <col min="15885" max="15887" width="0" style="3" hidden="1" customWidth="1"/>
    <col min="15888" max="15888" width="1.28515625" style="3" customWidth="1"/>
    <col min="15889" max="15889" width="10.5703125" style="3" customWidth="1"/>
    <col min="15890" max="15891" width="9.140625" style="3"/>
    <col min="15892" max="15892" width="13.42578125" style="3" customWidth="1"/>
    <col min="15893" max="15893" width="12.85546875" style="3" customWidth="1"/>
    <col min="15894" max="15903" width="1.85546875" style="3" customWidth="1"/>
    <col min="15904" max="15904" width="10.42578125" style="3" bestFit="1" customWidth="1"/>
    <col min="15905" max="16128" width="9.140625" style="3"/>
    <col min="16129" max="16129" width="35" style="3" customWidth="1"/>
    <col min="16130" max="16130" width="1.28515625" style="3" customWidth="1"/>
    <col min="16131" max="16131" width="10.85546875" style="3" customWidth="1"/>
    <col min="16132" max="16132" width="1.7109375" style="3" customWidth="1"/>
    <col min="16133" max="16133" width="9.85546875" style="3" customWidth="1"/>
    <col min="16134" max="16134" width="1.42578125" style="3" customWidth="1"/>
    <col min="16135" max="16135" width="10.7109375" style="3" customWidth="1"/>
    <col min="16136" max="16136" width="1.42578125" style="3" customWidth="1"/>
    <col min="16137" max="16137" width="10.42578125" style="3" customWidth="1"/>
    <col min="16138" max="16138" width="1.28515625" style="3" customWidth="1"/>
    <col min="16139" max="16139" width="11.42578125" style="3" customWidth="1"/>
    <col min="16140" max="16140" width="1.28515625" style="3" customWidth="1"/>
    <col min="16141" max="16143" width="0" style="3" hidden="1" customWidth="1"/>
    <col min="16144" max="16144" width="1.28515625" style="3" customWidth="1"/>
    <col min="16145" max="16145" width="10.5703125" style="3" customWidth="1"/>
    <col min="16146" max="16147" width="9.140625" style="3"/>
    <col min="16148" max="16148" width="13.42578125" style="3" customWidth="1"/>
    <col min="16149" max="16149" width="12.85546875" style="3" customWidth="1"/>
    <col min="16150" max="16159" width="1.85546875" style="3" customWidth="1"/>
    <col min="16160" max="16160" width="10.42578125" style="3" bestFit="1" customWidth="1"/>
    <col min="16161" max="16384" width="9.140625" style="3"/>
  </cols>
  <sheetData>
    <row r="1" spans="1:20" ht="11.85" customHeight="1" x14ac:dyDescent="0.2">
      <c r="A1" s="1"/>
      <c r="B1" s="1"/>
      <c r="E1" s="2" t="s">
        <v>0</v>
      </c>
    </row>
    <row r="2" spans="1:20" ht="11.85" customHeight="1" x14ac:dyDescent="0.2">
      <c r="E2" s="2" t="s">
        <v>1</v>
      </c>
    </row>
    <row r="3" spans="1:20" ht="11.85" customHeight="1" x14ac:dyDescent="0.2">
      <c r="E3" s="2" t="s">
        <v>2</v>
      </c>
    </row>
    <row r="4" spans="1:20" ht="11.85" customHeight="1" x14ac:dyDescent="0.2">
      <c r="A4" s="3" t="s">
        <v>3</v>
      </c>
    </row>
    <row r="5" spans="1:20" ht="11.85" customHeight="1" x14ac:dyDescent="0.2"/>
    <row r="6" spans="1:20" ht="11.85" customHeight="1" x14ac:dyDescent="0.2">
      <c r="I6" s="53" t="s">
        <v>4</v>
      </c>
      <c r="J6" s="53"/>
      <c r="K6" s="53"/>
      <c r="L6" s="6"/>
      <c r="M6" s="54" t="s">
        <v>5</v>
      </c>
      <c r="N6" s="54"/>
      <c r="O6" s="54"/>
      <c r="P6" s="54"/>
      <c r="Q6" s="54"/>
    </row>
    <row r="7" spans="1:20" ht="11.85" customHeight="1" x14ac:dyDescent="0.2">
      <c r="C7" s="5" t="s">
        <v>6</v>
      </c>
      <c r="D7" s="5"/>
      <c r="E7" s="5" t="s">
        <v>7</v>
      </c>
      <c r="F7" s="5"/>
      <c r="G7" s="5" t="s">
        <v>8</v>
      </c>
      <c r="H7" s="5"/>
      <c r="I7" s="5" t="s">
        <v>9</v>
      </c>
      <c r="J7" s="5"/>
      <c r="K7" s="5" t="s">
        <v>10</v>
      </c>
      <c r="L7" s="6"/>
      <c r="M7" s="5"/>
      <c r="N7" s="6"/>
      <c r="O7" s="5" t="s">
        <v>5</v>
      </c>
      <c r="P7" s="6"/>
      <c r="Q7" s="5" t="s">
        <v>11</v>
      </c>
    </row>
    <row r="8" spans="1:20" ht="11.85" customHeight="1" x14ac:dyDescent="0.2">
      <c r="A8" s="7"/>
      <c r="C8" s="8" t="s">
        <v>12</v>
      </c>
      <c r="D8" s="5"/>
      <c r="E8" s="8" t="s">
        <v>12</v>
      </c>
      <c r="F8" s="5"/>
      <c r="G8" s="8" t="s">
        <v>12</v>
      </c>
      <c r="H8" s="5"/>
      <c r="I8" s="8" t="s">
        <v>13</v>
      </c>
      <c r="J8" s="5"/>
      <c r="K8" s="8" t="s">
        <v>13</v>
      </c>
      <c r="L8" s="6"/>
      <c r="M8" s="8" t="s">
        <v>14</v>
      </c>
      <c r="N8" s="6"/>
      <c r="O8" s="8" t="s">
        <v>15</v>
      </c>
      <c r="P8" s="6"/>
      <c r="Q8" s="8" t="s">
        <v>13</v>
      </c>
    </row>
    <row r="9" spans="1:20" ht="11.85" customHeight="1" x14ac:dyDescent="0.2"/>
    <row r="10" spans="1:20" ht="11.85" customHeight="1" x14ac:dyDescent="0.2">
      <c r="A10" s="3" t="s">
        <v>16</v>
      </c>
    </row>
    <row r="11" spans="1:20" ht="11.85" customHeight="1" x14ac:dyDescent="0.2">
      <c r="A11" s="3" t="s">
        <v>17</v>
      </c>
      <c r="C11" s="2">
        <f>4141627.6</f>
        <v>4141627.6</v>
      </c>
      <c r="E11" s="2">
        <f>C2326</f>
        <v>4498970.3500000024</v>
      </c>
      <c r="G11" s="2">
        <f>E2326</f>
        <v>4046451.1800000025</v>
      </c>
      <c r="I11" s="2">
        <f>G2326</f>
        <v>4739628.5600000024</v>
      </c>
      <c r="K11" s="2">
        <f>+I11</f>
        <v>4739628.5600000024</v>
      </c>
      <c r="L11" s="9"/>
      <c r="M11" s="2">
        <f>K2326</f>
        <v>2593897.5600000024</v>
      </c>
      <c r="N11" s="9"/>
      <c r="P11" s="9"/>
      <c r="Q11" s="2">
        <f>M11</f>
        <v>2593897.5600000024</v>
      </c>
    </row>
    <row r="12" spans="1:20" ht="11.85" customHeight="1" x14ac:dyDescent="0.2">
      <c r="L12" s="9"/>
      <c r="N12" s="9"/>
      <c r="P12" s="9"/>
    </row>
    <row r="13" spans="1:20" ht="11.85" customHeight="1" x14ac:dyDescent="0.2">
      <c r="A13" s="10" t="s">
        <v>18</v>
      </c>
      <c r="B13" s="10"/>
      <c r="L13" s="9"/>
      <c r="N13" s="9"/>
      <c r="P13" s="9"/>
    </row>
    <row r="14" spans="1:20" ht="11.85" customHeight="1" x14ac:dyDescent="0.2">
      <c r="L14" s="9"/>
      <c r="N14" s="9"/>
      <c r="P14" s="9"/>
    </row>
    <row r="15" spans="1:20" ht="11.85" customHeight="1" x14ac:dyDescent="0.2">
      <c r="A15" s="10" t="s">
        <v>19</v>
      </c>
      <c r="B15" s="10"/>
      <c r="L15" s="9"/>
      <c r="N15" s="9"/>
      <c r="P15" s="9"/>
    </row>
    <row r="16" spans="1:20" ht="11.85" customHeight="1" x14ac:dyDescent="0.2">
      <c r="A16" s="3" t="s">
        <v>20</v>
      </c>
      <c r="C16" s="2">
        <v>877901.66</v>
      </c>
      <c r="E16" s="2">
        <v>877241.73</v>
      </c>
      <c r="G16" s="2">
        <v>906305</v>
      </c>
      <c r="I16" s="2">
        <v>895000</v>
      </c>
      <c r="K16" s="2">
        <v>895000</v>
      </c>
      <c r="L16" s="9"/>
      <c r="M16" s="2">
        <v>900000</v>
      </c>
      <c r="N16" s="9"/>
      <c r="O16" s="2">
        <v>0</v>
      </c>
      <c r="P16" s="9"/>
      <c r="Q16" s="2">
        <f>M16+O16</f>
        <v>900000</v>
      </c>
      <c r="T16" s="11"/>
    </row>
    <row r="17" spans="1:33" ht="11.85" customHeight="1" x14ac:dyDescent="0.2">
      <c r="A17" s="3" t="s">
        <v>21</v>
      </c>
      <c r="C17" s="2">
        <v>28525.81</v>
      </c>
      <c r="E17" s="2">
        <v>16118.4</v>
      </c>
      <c r="G17" s="2">
        <v>17080.82</v>
      </c>
      <c r="I17" s="2">
        <v>15000</v>
      </c>
      <c r="K17" s="2">
        <v>15000</v>
      </c>
      <c r="L17" s="9"/>
      <c r="M17" s="2">
        <v>15000</v>
      </c>
      <c r="N17" s="9"/>
      <c r="O17" s="2">
        <v>0</v>
      </c>
      <c r="P17" s="9"/>
      <c r="Q17" s="2">
        <f>M17+O17</f>
        <v>15000</v>
      </c>
    </row>
    <row r="18" spans="1:33" ht="11.85" customHeight="1" x14ac:dyDescent="0.2">
      <c r="A18" s="3" t="s">
        <v>22</v>
      </c>
      <c r="C18" s="2">
        <v>21103.74</v>
      </c>
      <c r="E18" s="2">
        <v>18310.330000000002</v>
      </c>
      <c r="G18" s="2">
        <v>17890.7</v>
      </c>
      <c r="I18" s="2">
        <v>15000</v>
      </c>
      <c r="K18" s="2">
        <v>15000</v>
      </c>
      <c r="L18" s="9"/>
      <c r="M18" s="2">
        <v>17000</v>
      </c>
      <c r="N18" s="9"/>
      <c r="O18" s="2">
        <v>0</v>
      </c>
      <c r="P18" s="9"/>
      <c r="Q18" s="2">
        <f>M18+O18</f>
        <v>17000</v>
      </c>
    </row>
    <row r="19" spans="1:33" ht="11.85" customHeight="1" x14ac:dyDescent="0.2">
      <c r="A19" s="3" t="s">
        <v>23</v>
      </c>
      <c r="C19" s="2">
        <v>0</v>
      </c>
      <c r="E19" s="2">
        <v>0</v>
      </c>
      <c r="G19" s="2">
        <v>0</v>
      </c>
      <c r="I19" s="2">
        <v>0</v>
      </c>
      <c r="K19" s="2">
        <v>0</v>
      </c>
      <c r="L19" s="9"/>
      <c r="M19" s="2">
        <v>0</v>
      </c>
      <c r="N19" s="9"/>
      <c r="O19" s="2">
        <v>0</v>
      </c>
      <c r="P19" s="9"/>
      <c r="Q19" s="2">
        <f>M19+O19</f>
        <v>0</v>
      </c>
    </row>
    <row r="20" spans="1:33" ht="11.85" customHeight="1" x14ac:dyDescent="0.2">
      <c r="A20" s="3" t="s">
        <v>24</v>
      </c>
      <c r="C20" s="12">
        <v>4632</v>
      </c>
      <c r="E20" s="12">
        <v>5806</v>
      </c>
      <c r="G20" s="12">
        <v>4532</v>
      </c>
      <c r="I20" s="12">
        <v>4500</v>
      </c>
      <c r="K20" s="12">
        <v>4500</v>
      </c>
      <c r="L20" s="9"/>
      <c r="M20" s="12">
        <v>4500</v>
      </c>
      <c r="N20" s="9"/>
      <c r="O20" s="12">
        <v>0</v>
      </c>
      <c r="P20" s="9"/>
      <c r="Q20" s="12">
        <f>M20+O20</f>
        <v>4500</v>
      </c>
    </row>
    <row r="21" spans="1:33" ht="11.85" customHeight="1" x14ac:dyDescent="0.2">
      <c r="A21" s="3" t="s">
        <v>25</v>
      </c>
      <c r="C21" s="2">
        <f>SUM(C16:C20)</f>
        <v>932163.21000000008</v>
      </c>
      <c r="E21" s="2">
        <f>SUM(E16:E20)</f>
        <v>917476.46</v>
      </c>
      <c r="G21" s="2">
        <f>SUM(G16:G20)</f>
        <v>945808.5199999999</v>
      </c>
      <c r="I21" s="2">
        <f>SUM(I16:I20)</f>
        <v>929500</v>
      </c>
      <c r="K21" s="2">
        <f>SUM(K16:K20)</f>
        <v>929500</v>
      </c>
      <c r="L21" s="9"/>
      <c r="M21" s="2">
        <f>SUM(M16:M20)</f>
        <v>936500</v>
      </c>
      <c r="N21" s="9"/>
      <c r="O21" s="2">
        <f>SUM(O16:O20)</f>
        <v>0</v>
      </c>
      <c r="P21" s="9"/>
      <c r="Q21" s="2">
        <f>SUM(Q16:Q20)</f>
        <v>936500</v>
      </c>
      <c r="R21" s="13"/>
      <c r="T21" s="14"/>
      <c r="U21" s="9"/>
    </row>
    <row r="22" spans="1:33" ht="11.85" customHeight="1" x14ac:dyDescent="0.2">
      <c r="L22" s="9"/>
      <c r="N22" s="9"/>
      <c r="P22" s="9"/>
    </row>
    <row r="23" spans="1:33" ht="11.85" customHeight="1" x14ac:dyDescent="0.2">
      <c r="A23" s="10" t="s">
        <v>26</v>
      </c>
      <c r="L23" s="9"/>
      <c r="N23" s="9"/>
      <c r="P23" s="9"/>
    </row>
    <row r="24" spans="1:33" ht="11.85" customHeight="1" x14ac:dyDescent="0.2">
      <c r="A24" s="3" t="s">
        <v>27</v>
      </c>
      <c r="C24" s="2">
        <v>1027213.22</v>
      </c>
      <c r="E24" s="2">
        <v>1059458.55</v>
      </c>
      <c r="G24" s="2">
        <v>1141753.74</v>
      </c>
      <c r="I24" s="2">
        <v>1030000</v>
      </c>
      <c r="K24" s="2">
        <v>1030000</v>
      </c>
      <c r="L24" s="9"/>
      <c r="M24" s="2">
        <v>1100000</v>
      </c>
      <c r="N24" s="9"/>
      <c r="O24" s="2">
        <v>0</v>
      </c>
      <c r="P24" s="9"/>
      <c r="Q24" s="2">
        <f>M24+O24</f>
        <v>1100000</v>
      </c>
    </row>
    <row r="25" spans="1:33" ht="11.85" customHeight="1" x14ac:dyDescent="0.2">
      <c r="A25" s="3" t="s">
        <v>28</v>
      </c>
      <c r="C25" s="2">
        <v>18703.05</v>
      </c>
      <c r="E25" s="2">
        <v>17328.810000000001</v>
      </c>
      <c r="G25" s="2">
        <v>16366.73</v>
      </c>
      <c r="I25" s="2">
        <v>15000</v>
      </c>
      <c r="K25" s="2">
        <v>15000</v>
      </c>
      <c r="L25" s="9"/>
      <c r="M25" s="2">
        <v>15000</v>
      </c>
      <c r="N25" s="9"/>
      <c r="O25" s="2">
        <v>0</v>
      </c>
      <c r="P25" s="9"/>
      <c r="Q25" s="2">
        <f>M25+O25</f>
        <v>15000</v>
      </c>
    </row>
    <row r="26" spans="1:33" ht="11.85" customHeight="1" x14ac:dyDescent="0.2">
      <c r="A26" s="3" t="s">
        <v>29</v>
      </c>
      <c r="C26" s="2">
        <v>29170.639999999999</v>
      </c>
      <c r="E26" s="2">
        <v>26973.69</v>
      </c>
      <c r="G26" s="2">
        <v>23665.93</v>
      </c>
      <c r="I26" s="2">
        <v>23000</v>
      </c>
      <c r="K26" s="2">
        <v>23000</v>
      </c>
      <c r="L26" s="9"/>
      <c r="M26" s="2">
        <v>21000</v>
      </c>
      <c r="N26" s="9"/>
      <c r="O26" s="2">
        <v>0</v>
      </c>
      <c r="P26" s="9"/>
      <c r="Q26" s="2">
        <f>M26+O26</f>
        <v>21000</v>
      </c>
    </row>
    <row r="27" spans="1:33" ht="11.85" customHeight="1" x14ac:dyDescent="0.2">
      <c r="A27" s="3" t="s">
        <v>30</v>
      </c>
      <c r="C27" s="12">
        <v>9182.9699999999993</v>
      </c>
      <c r="E27" s="12">
        <v>9050.5300000000007</v>
      </c>
      <c r="G27" s="12">
        <v>6151.5</v>
      </c>
      <c r="I27" s="12">
        <v>7000</v>
      </c>
      <c r="K27" s="12">
        <v>7000</v>
      </c>
      <c r="L27" s="9"/>
      <c r="M27" s="12">
        <v>7000</v>
      </c>
      <c r="N27" s="9"/>
      <c r="O27" s="12">
        <v>0</v>
      </c>
      <c r="P27" s="9"/>
      <c r="Q27" s="12">
        <f>M27+O27</f>
        <v>7000</v>
      </c>
    </row>
    <row r="28" spans="1:33" ht="11.85" customHeight="1" x14ac:dyDescent="0.2">
      <c r="A28" s="3" t="s">
        <v>31</v>
      </c>
      <c r="C28" s="2">
        <f>SUM(C24:C27)</f>
        <v>1084269.8799999999</v>
      </c>
      <c r="E28" s="2">
        <f>SUM(E24:E27)</f>
        <v>1112811.58</v>
      </c>
      <c r="G28" s="2">
        <f>SUM(G24:G27)</f>
        <v>1187937.8999999999</v>
      </c>
      <c r="I28" s="2">
        <f>SUM(I24:I27)</f>
        <v>1075000</v>
      </c>
      <c r="K28" s="2">
        <f>SUM(K24:K27)</f>
        <v>1075000</v>
      </c>
      <c r="L28" s="9"/>
      <c r="M28" s="2">
        <f>SUM(M24:M27)</f>
        <v>1143000</v>
      </c>
      <c r="N28" s="9"/>
      <c r="O28" s="2">
        <f>SUM(O24:O27)</f>
        <v>0</v>
      </c>
      <c r="P28" s="9"/>
      <c r="Q28" s="2">
        <f>SUM(Q24:Q27)</f>
        <v>1143000</v>
      </c>
      <c r="R28" s="13"/>
      <c r="T28" s="14"/>
      <c r="U28" s="9"/>
      <c r="W28" s="9"/>
      <c r="AF28" s="13"/>
      <c r="AG28" s="9"/>
    </row>
    <row r="29" spans="1:33" ht="11.85" customHeight="1" x14ac:dyDescent="0.2">
      <c r="L29" s="9"/>
      <c r="N29" s="9"/>
      <c r="P29" s="9"/>
    </row>
    <row r="30" spans="1:33" ht="11.85" customHeight="1" x14ac:dyDescent="0.2">
      <c r="A30" s="10" t="s">
        <v>32</v>
      </c>
      <c r="L30" s="9"/>
      <c r="N30" s="9"/>
      <c r="P30" s="9"/>
    </row>
    <row r="31" spans="1:33" ht="11.85" customHeight="1" x14ac:dyDescent="0.2">
      <c r="A31" s="3" t="s">
        <v>33</v>
      </c>
      <c r="C31" s="2">
        <v>950004</v>
      </c>
      <c r="E31" s="2">
        <v>991992</v>
      </c>
      <c r="G31" s="2">
        <v>981000</v>
      </c>
      <c r="I31" s="2">
        <v>1005000</v>
      </c>
      <c r="K31" s="2">
        <v>1005000</v>
      </c>
      <c r="L31" s="9"/>
      <c r="M31" s="2">
        <v>987000</v>
      </c>
      <c r="N31" s="9"/>
      <c r="O31" s="2">
        <v>0</v>
      </c>
      <c r="P31" s="9"/>
      <c r="Q31" s="2">
        <f t="shared" ref="Q31:Q43" si="0">M31+O31</f>
        <v>987000</v>
      </c>
    </row>
    <row r="32" spans="1:33" ht="11.85" customHeight="1" x14ac:dyDescent="0.2">
      <c r="A32" s="3" t="s">
        <v>34</v>
      </c>
      <c r="C32" s="2">
        <v>2287.5</v>
      </c>
      <c r="E32" s="2">
        <v>2030</v>
      </c>
      <c r="G32" s="2">
        <v>1810</v>
      </c>
      <c r="I32" s="2">
        <v>2000</v>
      </c>
      <c r="K32" s="2">
        <v>2000</v>
      </c>
      <c r="L32" s="9"/>
      <c r="M32" s="2">
        <v>2000</v>
      </c>
      <c r="N32" s="9"/>
      <c r="O32" s="2">
        <v>0</v>
      </c>
      <c r="P32" s="9"/>
      <c r="Q32" s="2">
        <f>M32+O32</f>
        <v>2000</v>
      </c>
    </row>
    <row r="33" spans="1:26" ht="11.85" customHeight="1" x14ac:dyDescent="0.2">
      <c r="A33" s="3" t="s">
        <v>35</v>
      </c>
      <c r="C33" s="2">
        <v>0</v>
      </c>
      <c r="E33" s="2">
        <v>0</v>
      </c>
      <c r="G33" s="2">
        <v>368</v>
      </c>
      <c r="K33" s="2">
        <v>0</v>
      </c>
      <c r="L33" s="9"/>
      <c r="M33" s="2">
        <v>500</v>
      </c>
      <c r="N33" s="9"/>
      <c r="O33" s="2">
        <v>0</v>
      </c>
      <c r="P33" s="9"/>
      <c r="Q33" s="2">
        <f>M33+O33</f>
        <v>500</v>
      </c>
    </row>
    <row r="34" spans="1:26" ht="11.85" customHeight="1" x14ac:dyDescent="0.2">
      <c r="A34" s="3" t="s">
        <v>36</v>
      </c>
      <c r="C34" s="2">
        <v>400</v>
      </c>
      <c r="E34" s="2">
        <v>0</v>
      </c>
      <c r="G34" s="2">
        <v>900</v>
      </c>
      <c r="I34" s="2">
        <v>0</v>
      </c>
      <c r="K34" s="2">
        <v>0</v>
      </c>
      <c r="L34" s="9"/>
      <c r="M34" s="2">
        <v>0</v>
      </c>
      <c r="N34" s="9"/>
      <c r="O34" s="2">
        <v>0</v>
      </c>
      <c r="P34" s="9"/>
      <c r="Q34" s="2">
        <f>M34+O34</f>
        <v>0</v>
      </c>
    </row>
    <row r="35" spans="1:26" ht="11.85" customHeight="1" x14ac:dyDescent="0.2">
      <c r="A35" s="3" t="s">
        <v>37</v>
      </c>
      <c r="C35" s="2">
        <v>1825</v>
      </c>
      <c r="E35" s="2">
        <v>3200</v>
      </c>
      <c r="G35" s="2">
        <v>3300</v>
      </c>
      <c r="I35" s="2">
        <v>2000</v>
      </c>
      <c r="K35" s="2">
        <v>2000</v>
      </c>
      <c r="L35" s="9"/>
      <c r="M35" s="2">
        <v>3000</v>
      </c>
      <c r="N35" s="9"/>
      <c r="O35" s="2">
        <v>0</v>
      </c>
      <c r="P35" s="9"/>
      <c r="Q35" s="2">
        <f t="shared" si="0"/>
        <v>3000</v>
      </c>
      <c r="Z35" s="9"/>
    </row>
    <row r="36" spans="1:26" ht="11.85" customHeight="1" x14ac:dyDescent="0.2">
      <c r="A36" s="3" t="s">
        <v>38</v>
      </c>
      <c r="C36" s="2">
        <v>710</v>
      </c>
      <c r="E36" s="2">
        <v>50</v>
      </c>
      <c r="G36" s="2">
        <v>0</v>
      </c>
      <c r="I36" s="2">
        <v>0</v>
      </c>
      <c r="K36" s="2">
        <v>0</v>
      </c>
      <c r="L36" s="9"/>
      <c r="M36" s="2">
        <v>0</v>
      </c>
      <c r="N36" s="9"/>
      <c r="O36" s="2">
        <v>0</v>
      </c>
      <c r="P36" s="9"/>
      <c r="Q36" s="2">
        <f t="shared" si="0"/>
        <v>0</v>
      </c>
    </row>
    <row r="37" spans="1:26" ht="11.85" customHeight="1" x14ac:dyDescent="0.2">
      <c r="A37" s="3" t="s">
        <v>39</v>
      </c>
      <c r="C37" s="2">
        <v>25943.06</v>
      </c>
      <c r="E37" s="2">
        <v>38546.26</v>
      </c>
      <c r="G37" s="2">
        <v>46058.5</v>
      </c>
      <c r="I37" s="2">
        <v>35000</v>
      </c>
      <c r="K37" s="2">
        <f>35000+30000</f>
        <v>65000</v>
      </c>
      <c r="L37" s="9"/>
      <c r="M37" s="2">
        <v>45000</v>
      </c>
      <c r="N37" s="9"/>
      <c r="O37" s="2">
        <v>0</v>
      </c>
      <c r="P37" s="9"/>
      <c r="Q37" s="2">
        <f>M37+O37</f>
        <v>45000</v>
      </c>
    </row>
    <row r="38" spans="1:26" ht="11.85" hidden="1" customHeight="1" x14ac:dyDescent="0.2">
      <c r="A38" s="3" t="s">
        <v>40</v>
      </c>
      <c r="C38" s="2">
        <v>0</v>
      </c>
      <c r="E38" s="2">
        <v>0</v>
      </c>
      <c r="G38" s="2">
        <v>0</v>
      </c>
      <c r="I38" s="2">
        <v>0</v>
      </c>
      <c r="K38" s="2">
        <v>0</v>
      </c>
      <c r="L38" s="9"/>
      <c r="M38" s="2">
        <v>0</v>
      </c>
      <c r="N38" s="9"/>
      <c r="O38" s="2">
        <v>0</v>
      </c>
      <c r="P38" s="9"/>
      <c r="Q38" s="2">
        <f>M38+O38</f>
        <v>0</v>
      </c>
    </row>
    <row r="39" spans="1:26" ht="11.85" customHeight="1" x14ac:dyDescent="0.2">
      <c r="A39" s="3" t="s">
        <v>41</v>
      </c>
      <c r="C39" s="2">
        <v>0</v>
      </c>
      <c r="E39" s="2">
        <v>3175</v>
      </c>
      <c r="G39" s="2">
        <v>1600</v>
      </c>
      <c r="I39" s="2">
        <v>1500</v>
      </c>
      <c r="K39" s="2">
        <v>1500</v>
      </c>
      <c r="L39" s="9"/>
      <c r="M39" s="2">
        <v>1500</v>
      </c>
      <c r="N39" s="9"/>
      <c r="O39" s="2">
        <v>0</v>
      </c>
      <c r="P39" s="9"/>
      <c r="Q39" s="2">
        <f t="shared" si="0"/>
        <v>1500</v>
      </c>
    </row>
    <row r="40" spans="1:26" ht="11.85" customHeight="1" x14ac:dyDescent="0.2">
      <c r="A40" s="3" t="s">
        <v>42</v>
      </c>
      <c r="C40" s="2">
        <v>0</v>
      </c>
      <c r="E40" s="2">
        <v>0</v>
      </c>
      <c r="G40" s="2">
        <v>0</v>
      </c>
      <c r="I40" s="2">
        <v>0</v>
      </c>
      <c r="K40" s="2">
        <v>0</v>
      </c>
      <c r="L40" s="9"/>
      <c r="M40" s="2">
        <v>0</v>
      </c>
      <c r="N40" s="9"/>
      <c r="O40" s="2">
        <v>0</v>
      </c>
      <c r="P40" s="9"/>
      <c r="Q40" s="2">
        <f t="shared" si="0"/>
        <v>0</v>
      </c>
      <c r="R40" s="15"/>
      <c r="S40" s="16"/>
    </row>
    <row r="41" spans="1:26" ht="11.85" customHeight="1" x14ac:dyDescent="0.2">
      <c r="A41" s="3" t="s">
        <v>43</v>
      </c>
      <c r="C41" s="2">
        <v>400</v>
      </c>
      <c r="E41" s="2">
        <v>2000</v>
      </c>
      <c r="G41" s="2">
        <v>1200</v>
      </c>
      <c r="I41" s="2">
        <v>500</v>
      </c>
      <c r="K41" s="2">
        <v>500</v>
      </c>
      <c r="L41" s="9"/>
      <c r="M41" s="2">
        <v>500</v>
      </c>
      <c r="N41" s="9"/>
      <c r="O41" s="2">
        <v>0</v>
      </c>
      <c r="P41" s="9"/>
      <c r="Q41" s="2">
        <f t="shared" si="0"/>
        <v>500</v>
      </c>
      <c r="R41" s="15"/>
      <c r="S41" s="16"/>
    </row>
    <row r="42" spans="1:26" ht="11.85" customHeight="1" x14ac:dyDescent="0.2">
      <c r="A42" s="3" t="s">
        <v>44</v>
      </c>
      <c r="C42" s="2">
        <v>0</v>
      </c>
      <c r="E42" s="2">
        <v>225</v>
      </c>
      <c r="G42" s="2">
        <v>0</v>
      </c>
      <c r="I42" s="2">
        <v>0</v>
      </c>
      <c r="K42" s="2">
        <v>0</v>
      </c>
      <c r="L42" s="9"/>
      <c r="M42" s="2">
        <v>0</v>
      </c>
      <c r="N42" s="9"/>
      <c r="O42" s="2">
        <v>0</v>
      </c>
      <c r="P42" s="9"/>
      <c r="Q42" s="2">
        <f>M42+O42</f>
        <v>0</v>
      </c>
    </row>
    <row r="43" spans="1:26" ht="11.85" customHeight="1" x14ac:dyDescent="0.2">
      <c r="A43" s="3" t="s">
        <v>45</v>
      </c>
      <c r="C43" s="12">
        <v>0</v>
      </c>
      <c r="E43" s="12">
        <v>0</v>
      </c>
      <c r="G43" s="12">
        <v>0</v>
      </c>
      <c r="I43" s="12">
        <v>0</v>
      </c>
      <c r="K43" s="12">
        <v>0</v>
      </c>
      <c r="L43" s="9"/>
      <c r="M43" s="12">
        <v>0</v>
      </c>
      <c r="N43" s="9"/>
      <c r="O43" s="12">
        <v>0</v>
      </c>
      <c r="P43" s="9"/>
      <c r="Q43" s="12">
        <f t="shared" si="0"/>
        <v>0</v>
      </c>
    </row>
    <row r="44" spans="1:26" ht="11.85" customHeight="1" x14ac:dyDescent="0.2">
      <c r="A44" s="3" t="s">
        <v>46</v>
      </c>
      <c r="C44" s="2">
        <f>SUM(C31:C43)</f>
        <v>981569.56</v>
      </c>
      <c r="E44" s="2">
        <f>SUM(E31:E43)</f>
        <v>1041218.26</v>
      </c>
      <c r="G44" s="2">
        <f>SUM(G31:G43)</f>
        <v>1036236.5</v>
      </c>
      <c r="I44" s="2">
        <f>SUM(I31:I43)</f>
        <v>1046000</v>
      </c>
      <c r="K44" s="2">
        <f>SUM(K31:K43)</f>
        <v>1076000</v>
      </c>
      <c r="L44" s="9"/>
      <c r="M44" s="2">
        <f>SUM(M31:M43)</f>
        <v>1039500</v>
      </c>
      <c r="N44" s="9"/>
      <c r="O44" s="2">
        <f>SUM(O31:O43)</f>
        <v>0</v>
      </c>
      <c r="P44" s="9"/>
      <c r="Q44" s="2">
        <f>SUM(Q31:Q43)</f>
        <v>1039500</v>
      </c>
      <c r="T44" s="14"/>
    </row>
    <row r="45" spans="1:26" ht="11.85" customHeight="1" x14ac:dyDescent="0.2">
      <c r="L45" s="9"/>
      <c r="N45" s="9"/>
      <c r="P45" s="9"/>
    </row>
    <row r="46" spans="1:26" ht="11.85" customHeight="1" x14ac:dyDescent="0.2">
      <c r="A46" s="10" t="s">
        <v>47</v>
      </c>
      <c r="L46" s="9"/>
      <c r="N46" s="9"/>
      <c r="P46" s="9"/>
    </row>
    <row r="47" spans="1:26" ht="11.85" hidden="1" customHeight="1" x14ac:dyDescent="0.2">
      <c r="A47" s="3" t="s">
        <v>48</v>
      </c>
      <c r="C47" s="2">
        <v>0</v>
      </c>
      <c r="E47" s="2">
        <v>0</v>
      </c>
      <c r="G47" s="2">
        <v>0</v>
      </c>
      <c r="I47" s="2">
        <v>0</v>
      </c>
      <c r="K47" s="2">
        <v>0</v>
      </c>
      <c r="L47" s="9"/>
      <c r="M47" s="2">
        <v>0</v>
      </c>
      <c r="N47" s="9"/>
      <c r="O47" s="2">
        <v>0</v>
      </c>
      <c r="P47" s="9"/>
      <c r="Q47" s="2">
        <f t="shared" ref="Q47:Q67" si="1">M47+O47</f>
        <v>0</v>
      </c>
      <c r="U47" s="9"/>
    </row>
    <row r="48" spans="1:26" ht="11.85" hidden="1" customHeight="1" x14ac:dyDescent="0.2">
      <c r="A48" s="3" t="s">
        <v>49</v>
      </c>
      <c r="C48" s="2">
        <v>0</v>
      </c>
      <c r="E48" s="2">
        <v>0</v>
      </c>
      <c r="G48" s="2">
        <v>0</v>
      </c>
      <c r="I48" s="2">
        <v>0</v>
      </c>
      <c r="K48" s="2">
        <v>0</v>
      </c>
      <c r="L48" s="9"/>
      <c r="M48" s="2">
        <v>0</v>
      </c>
      <c r="N48" s="9"/>
      <c r="O48" s="2">
        <v>0</v>
      </c>
      <c r="P48" s="9"/>
      <c r="Q48" s="2">
        <f t="shared" si="1"/>
        <v>0</v>
      </c>
      <c r="W48" s="9"/>
    </row>
    <row r="49" spans="1:30" ht="11.85" customHeight="1" x14ac:dyDescent="0.2">
      <c r="A49" s="3" t="s">
        <v>50</v>
      </c>
      <c r="C49" s="2">
        <v>0</v>
      </c>
      <c r="E49" s="2">
        <v>0</v>
      </c>
      <c r="G49" s="2">
        <v>0</v>
      </c>
      <c r="I49" s="2">
        <v>0</v>
      </c>
      <c r="K49" s="2">
        <v>0</v>
      </c>
      <c r="L49" s="9"/>
      <c r="M49" s="2">
        <v>0</v>
      </c>
      <c r="N49" s="9"/>
      <c r="O49" s="2">
        <v>0</v>
      </c>
      <c r="P49" s="9"/>
      <c r="Q49" s="2">
        <f t="shared" si="1"/>
        <v>0</v>
      </c>
      <c r="Z49" s="9"/>
    </row>
    <row r="50" spans="1:30" ht="11.85" hidden="1" customHeight="1" x14ac:dyDescent="0.2">
      <c r="A50" s="3" t="s">
        <v>51</v>
      </c>
      <c r="C50" s="2">
        <v>0</v>
      </c>
      <c r="E50" s="2">
        <v>0</v>
      </c>
      <c r="G50" s="2">
        <v>0</v>
      </c>
      <c r="I50" s="2">
        <v>0</v>
      </c>
      <c r="K50" s="2">
        <v>0</v>
      </c>
      <c r="L50" s="9"/>
      <c r="M50" s="2">
        <v>0</v>
      </c>
      <c r="N50" s="9"/>
      <c r="O50" s="2">
        <v>0</v>
      </c>
      <c r="P50" s="9"/>
      <c r="Q50" s="2">
        <f t="shared" si="1"/>
        <v>0</v>
      </c>
      <c r="AA50" s="9"/>
    </row>
    <row r="51" spans="1:30" ht="11.85" customHeight="1" x14ac:dyDescent="0.2">
      <c r="A51" s="3" t="s">
        <v>52</v>
      </c>
      <c r="C51" s="2">
        <v>0</v>
      </c>
      <c r="E51" s="2">
        <v>0</v>
      </c>
      <c r="G51" s="2">
        <v>0</v>
      </c>
      <c r="I51" s="2">
        <v>0</v>
      </c>
      <c r="K51" s="2">
        <v>0</v>
      </c>
      <c r="L51" s="9"/>
      <c r="M51" s="2">
        <v>0</v>
      </c>
      <c r="N51" s="9"/>
      <c r="O51" s="2">
        <v>0</v>
      </c>
      <c r="P51" s="9"/>
      <c r="Q51" s="2">
        <f t="shared" si="1"/>
        <v>0</v>
      </c>
      <c r="AB51" s="17"/>
    </row>
    <row r="52" spans="1:30" ht="11.85" hidden="1" customHeight="1" x14ac:dyDescent="0.2">
      <c r="A52" s="3" t="s">
        <v>53</v>
      </c>
      <c r="C52" s="2">
        <v>0</v>
      </c>
      <c r="E52" s="2">
        <v>0</v>
      </c>
      <c r="G52" s="2">
        <v>0</v>
      </c>
      <c r="I52" s="2">
        <v>0</v>
      </c>
      <c r="K52" s="2">
        <v>0</v>
      </c>
      <c r="L52" s="9"/>
      <c r="M52" s="2">
        <v>0</v>
      </c>
      <c r="N52" s="9"/>
      <c r="O52" s="2">
        <v>0</v>
      </c>
      <c r="P52" s="9"/>
      <c r="Q52" s="2">
        <f t="shared" si="1"/>
        <v>0</v>
      </c>
      <c r="AB52" s="17"/>
    </row>
    <row r="53" spans="1:30" ht="11.85" hidden="1" customHeight="1" x14ac:dyDescent="0.2">
      <c r="A53" s="3" t="s">
        <v>54</v>
      </c>
      <c r="C53" s="2">
        <v>0</v>
      </c>
      <c r="E53" s="2">
        <v>0</v>
      </c>
      <c r="G53" s="2">
        <v>0</v>
      </c>
      <c r="I53" s="2">
        <v>0</v>
      </c>
      <c r="K53" s="2">
        <v>0</v>
      </c>
      <c r="L53" s="9"/>
      <c r="M53" s="2">
        <v>0</v>
      </c>
      <c r="N53" s="9"/>
      <c r="O53" s="2">
        <v>0</v>
      </c>
      <c r="P53" s="9"/>
      <c r="Q53" s="2">
        <f t="shared" si="1"/>
        <v>0</v>
      </c>
      <c r="AC53" s="9"/>
    </row>
    <row r="54" spans="1:30" ht="11.85" customHeight="1" x14ac:dyDescent="0.2">
      <c r="A54" s="3" t="s">
        <v>55</v>
      </c>
      <c r="C54" s="2">
        <v>142628.59</v>
      </c>
      <c r="E54" s="2">
        <v>157300</v>
      </c>
      <c r="G54" s="2">
        <v>207000</v>
      </c>
      <c r="I54" s="2">
        <v>243438</v>
      </c>
      <c r="K54" s="2">
        <v>243438</v>
      </c>
      <c r="L54" s="9"/>
      <c r="M54" s="2">
        <v>294000</v>
      </c>
      <c r="N54" s="9"/>
      <c r="O54" s="2">
        <v>0</v>
      </c>
      <c r="P54" s="9"/>
      <c r="Q54" s="2">
        <f t="shared" si="1"/>
        <v>294000</v>
      </c>
    </row>
    <row r="55" spans="1:30" ht="11.85" hidden="1" customHeight="1" x14ac:dyDescent="0.2">
      <c r="A55" s="3" t="s">
        <v>56</v>
      </c>
      <c r="C55" s="2">
        <v>0</v>
      </c>
      <c r="E55" s="2">
        <v>0</v>
      </c>
      <c r="G55" s="2">
        <v>0</v>
      </c>
      <c r="I55" s="2">
        <v>0</v>
      </c>
      <c r="K55" s="2">
        <v>0</v>
      </c>
      <c r="L55" s="9"/>
      <c r="M55" s="2">
        <v>0</v>
      </c>
      <c r="N55" s="9"/>
      <c r="O55" s="2">
        <v>0</v>
      </c>
      <c r="P55" s="9"/>
      <c r="Q55" s="2">
        <f t="shared" si="1"/>
        <v>0</v>
      </c>
    </row>
    <row r="56" spans="1:30" ht="11.85" customHeight="1" x14ac:dyDescent="0.2">
      <c r="A56" s="3" t="s">
        <v>57</v>
      </c>
      <c r="C56" s="2">
        <v>26894</v>
      </c>
      <c r="E56" s="2">
        <v>14689</v>
      </c>
      <c r="G56" s="2">
        <v>15562</v>
      </c>
      <c r="I56" s="2">
        <v>0</v>
      </c>
      <c r="K56" s="2">
        <v>0</v>
      </c>
      <c r="L56" s="9"/>
      <c r="M56" s="2">
        <v>0</v>
      </c>
      <c r="N56" s="9"/>
      <c r="O56" s="2">
        <v>0</v>
      </c>
      <c r="P56" s="9"/>
      <c r="Q56" s="2">
        <f t="shared" si="1"/>
        <v>0</v>
      </c>
    </row>
    <row r="57" spans="1:30" ht="11.85" customHeight="1" x14ac:dyDescent="0.2">
      <c r="A57" s="3" t="s">
        <v>58</v>
      </c>
      <c r="C57" s="2">
        <v>0</v>
      </c>
      <c r="E57" s="2">
        <v>0</v>
      </c>
      <c r="F57" s="2" t="s">
        <v>59</v>
      </c>
      <c r="G57" s="2">
        <v>0</v>
      </c>
      <c r="I57" s="2">
        <v>0</v>
      </c>
      <c r="K57" s="2">
        <v>0</v>
      </c>
      <c r="L57" s="9"/>
      <c r="M57" s="2">
        <v>0</v>
      </c>
      <c r="N57" s="9"/>
      <c r="O57" s="2">
        <v>0</v>
      </c>
      <c r="P57" s="9"/>
      <c r="Q57" s="2">
        <f t="shared" si="1"/>
        <v>0</v>
      </c>
      <c r="AA57" s="9"/>
    </row>
    <row r="58" spans="1:30" ht="11.85" hidden="1" customHeight="1" x14ac:dyDescent="0.2">
      <c r="A58" s="3" t="s">
        <v>60</v>
      </c>
      <c r="C58" s="2">
        <v>0</v>
      </c>
      <c r="E58" s="2">
        <v>0</v>
      </c>
      <c r="G58" s="2">
        <v>0</v>
      </c>
      <c r="I58" s="2">
        <v>0</v>
      </c>
      <c r="K58" s="2">
        <v>0</v>
      </c>
      <c r="L58" s="9"/>
      <c r="M58" s="2">
        <v>0</v>
      </c>
      <c r="N58" s="9"/>
      <c r="O58" s="2">
        <v>0</v>
      </c>
      <c r="P58" s="9"/>
      <c r="Q58" s="2">
        <f t="shared" si="1"/>
        <v>0</v>
      </c>
      <c r="S58" s="18"/>
      <c r="AA58" s="9"/>
    </row>
    <row r="59" spans="1:30" ht="11.85" customHeight="1" x14ac:dyDescent="0.2">
      <c r="A59" s="3" t="s">
        <v>61</v>
      </c>
      <c r="C59" s="2">
        <v>63876.15</v>
      </c>
      <c r="E59" s="2">
        <v>0</v>
      </c>
      <c r="G59" s="2">
        <v>0</v>
      </c>
      <c r="I59" s="2">
        <v>0</v>
      </c>
      <c r="K59" s="2">
        <v>0</v>
      </c>
      <c r="L59" s="9"/>
      <c r="M59" s="2">
        <v>0</v>
      </c>
      <c r="N59" s="9"/>
      <c r="O59" s="2">
        <v>0</v>
      </c>
      <c r="P59" s="9"/>
      <c r="Q59" s="2">
        <f t="shared" si="1"/>
        <v>0</v>
      </c>
      <c r="AA59" s="9"/>
    </row>
    <row r="60" spans="1:30" ht="11.85" hidden="1" customHeight="1" x14ac:dyDescent="0.2">
      <c r="A60" s="3" t="s">
        <v>62</v>
      </c>
      <c r="C60" s="2">
        <v>0</v>
      </c>
      <c r="E60" s="2">
        <v>0</v>
      </c>
      <c r="G60" s="2">
        <v>0</v>
      </c>
      <c r="I60" s="2">
        <v>0</v>
      </c>
      <c r="K60" s="2">
        <v>0</v>
      </c>
      <c r="L60" s="9"/>
      <c r="M60" s="2">
        <v>0</v>
      </c>
      <c r="N60" s="9"/>
      <c r="O60" s="2">
        <v>0</v>
      </c>
      <c r="P60" s="9"/>
      <c r="Q60" s="2">
        <f t="shared" si="1"/>
        <v>0</v>
      </c>
      <c r="AA60" s="9"/>
    </row>
    <row r="61" spans="1:30" ht="11.85" hidden="1" customHeight="1" x14ac:dyDescent="0.2">
      <c r="A61" s="3" t="s">
        <v>63</v>
      </c>
      <c r="C61" s="2">
        <v>0</v>
      </c>
      <c r="E61" s="2">
        <v>0</v>
      </c>
      <c r="G61" s="2">
        <v>0</v>
      </c>
      <c r="I61" s="2">
        <v>0</v>
      </c>
      <c r="K61" s="2">
        <v>0</v>
      </c>
      <c r="L61" s="9"/>
      <c r="M61" s="2">
        <v>0</v>
      </c>
      <c r="N61" s="9"/>
      <c r="O61" s="2">
        <v>0</v>
      </c>
      <c r="P61" s="9"/>
      <c r="Q61" s="2">
        <f t="shared" si="1"/>
        <v>0</v>
      </c>
      <c r="V61" s="9"/>
    </row>
    <row r="62" spans="1:30" ht="11.25" customHeight="1" x14ac:dyDescent="0.2">
      <c r="A62" s="3" t="s">
        <v>64</v>
      </c>
      <c r="C62" s="2">
        <v>15000</v>
      </c>
      <c r="E62" s="2">
        <v>15000</v>
      </c>
      <c r="G62" s="2">
        <v>11250</v>
      </c>
      <c r="I62" s="2">
        <v>35000</v>
      </c>
      <c r="K62" s="2">
        <v>35000</v>
      </c>
      <c r="L62" s="9"/>
      <c r="M62" s="2">
        <v>0</v>
      </c>
      <c r="N62" s="9"/>
      <c r="O62" s="2">
        <v>0</v>
      </c>
      <c r="P62" s="9"/>
      <c r="Q62" s="2">
        <f t="shared" si="1"/>
        <v>0</v>
      </c>
      <c r="AD62" s="9"/>
    </row>
    <row r="63" spans="1:30" ht="11.25" customHeight="1" x14ac:dyDescent="0.2">
      <c r="A63" s="3" t="s">
        <v>65</v>
      </c>
      <c r="C63" s="2">
        <v>0</v>
      </c>
      <c r="E63" s="2">
        <v>0</v>
      </c>
      <c r="G63" s="2">
        <v>0</v>
      </c>
      <c r="I63" s="2">
        <v>65000</v>
      </c>
      <c r="K63" s="2">
        <v>65000</v>
      </c>
      <c r="L63" s="9"/>
      <c r="M63" s="2">
        <v>65000</v>
      </c>
      <c r="N63" s="9"/>
      <c r="O63" s="2">
        <v>0</v>
      </c>
      <c r="P63" s="9"/>
      <c r="Q63" s="2">
        <f t="shared" si="1"/>
        <v>65000</v>
      </c>
    </row>
    <row r="64" spans="1:30" ht="11.85" customHeight="1" x14ac:dyDescent="0.2">
      <c r="A64" s="3" t="s">
        <v>66</v>
      </c>
      <c r="C64" s="2">
        <v>5000</v>
      </c>
      <c r="E64" s="2">
        <v>5150</v>
      </c>
      <c r="G64" s="2">
        <v>5400</v>
      </c>
      <c r="I64" s="2">
        <v>5000</v>
      </c>
      <c r="K64" s="2">
        <v>5000</v>
      </c>
      <c r="L64" s="9"/>
      <c r="M64" s="2">
        <v>6000</v>
      </c>
      <c r="N64" s="9"/>
      <c r="O64" s="2">
        <v>0</v>
      </c>
      <c r="P64" s="9"/>
      <c r="Q64" s="2">
        <f>M64+O64</f>
        <v>6000</v>
      </c>
    </row>
    <row r="65" spans="1:22" ht="11.85" hidden="1" customHeight="1" x14ac:dyDescent="0.2">
      <c r="A65" s="3" t="s">
        <v>67</v>
      </c>
      <c r="C65" s="2">
        <v>0</v>
      </c>
      <c r="E65" s="2">
        <v>0</v>
      </c>
      <c r="G65" s="2">
        <v>0</v>
      </c>
      <c r="I65" s="2">
        <v>0</v>
      </c>
      <c r="K65" s="2">
        <v>0</v>
      </c>
      <c r="L65" s="9"/>
      <c r="M65" s="2">
        <v>0</v>
      </c>
      <c r="N65" s="9"/>
      <c r="O65" s="2">
        <v>0</v>
      </c>
      <c r="P65" s="9"/>
      <c r="Q65" s="2">
        <f>M65+O65</f>
        <v>0</v>
      </c>
    </row>
    <row r="66" spans="1:22" ht="11.85" customHeight="1" x14ac:dyDescent="0.2">
      <c r="A66" s="3" t="s">
        <v>68</v>
      </c>
      <c r="C66" s="12">
        <v>9697.2999999999993</v>
      </c>
      <c r="E66" s="12">
        <v>10383.75</v>
      </c>
      <c r="G66" s="12">
        <v>32018.29</v>
      </c>
      <c r="I66" s="12">
        <v>50000</v>
      </c>
      <c r="K66" s="12">
        <v>61112</v>
      </c>
      <c r="L66" s="9"/>
      <c r="M66" s="12">
        <v>50000</v>
      </c>
      <c r="N66" s="9"/>
      <c r="O66" s="12">
        <v>0</v>
      </c>
      <c r="P66" s="9"/>
      <c r="Q66" s="12">
        <f>M66+O66</f>
        <v>50000</v>
      </c>
      <c r="V66" s="9"/>
    </row>
    <row r="67" spans="1:22" ht="11.85" hidden="1" customHeight="1" x14ac:dyDescent="0.2">
      <c r="A67" s="3" t="s">
        <v>69</v>
      </c>
      <c r="C67" s="12">
        <v>0</v>
      </c>
      <c r="E67" s="12">
        <v>0</v>
      </c>
      <c r="G67" s="12">
        <v>0</v>
      </c>
      <c r="I67" s="12">
        <v>0</v>
      </c>
      <c r="K67" s="12">
        <v>0</v>
      </c>
      <c r="L67" s="9"/>
      <c r="M67" s="12">
        <v>0</v>
      </c>
      <c r="N67" s="9"/>
      <c r="O67" s="12">
        <v>0</v>
      </c>
      <c r="P67" s="9"/>
      <c r="Q67" s="12">
        <f t="shared" si="1"/>
        <v>0</v>
      </c>
      <c r="R67" s="9"/>
    </row>
    <row r="68" spans="1:22" ht="11.85" customHeight="1" x14ac:dyDescent="0.2">
      <c r="A68" s="3" t="s">
        <v>70</v>
      </c>
      <c r="C68" s="2">
        <f>SUM(C47:C67)</f>
        <v>263096.03999999998</v>
      </c>
      <c r="E68" s="2">
        <f>SUM(E47:E67)</f>
        <v>202522.75</v>
      </c>
      <c r="G68" s="2">
        <f>SUM(G47:G67)</f>
        <v>271230.28999999998</v>
      </c>
      <c r="I68" s="2">
        <f>SUM(I47:I67)</f>
        <v>398438</v>
      </c>
      <c r="K68" s="2">
        <f>SUM(K47:K67)</f>
        <v>409550</v>
      </c>
      <c r="L68" s="9"/>
      <c r="M68" s="2">
        <f>SUM(M47:M67)</f>
        <v>415000</v>
      </c>
      <c r="N68" s="9"/>
      <c r="O68" s="2">
        <f>SUM(O47:O67)</f>
        <v>0</v>
      </c>
      <c r="P68" s="9"/>
      <c r="Q68" s="2">
        <f>SUM(Q47:Q67)</f>
        <v>415000</v>
      </c>
      <c r="T68" s="14"/>
      <c r="U68" s="9"/>
    </row>
    <row r="69" spans="1:22" ht="11.85" customHeight="1" x14ac:dyDescent="0.2">
      <c r="L69" s="9"/>
      <c r="N69" s="9"/>
      <c r="P69" s="9"/>
    </row>
    <row r="70" spans="1:22" ht="11.85" customHeight="1" x14ac:dyDescent="0.2">
      <c r="L70" s="9"/>
      <c r="N70" s="9"/>
      <c r="P70" s="9"/>
    </row>
    <row r="71" spans="1:22" ht="11.85" customHeight="1" x14ac:dyDescent="0.2">
      <c r="L71" s="9"/>
      <c r="N71" s="9"/>
      <c r="P71" s="9"/>
    </row>
    <row r="72" spans="1:22" ht="11.85" customHeight="1" x14ac:dyDescent="0.2">
      <c r="L72" s="9"/>
      <c r="N72" s="9"/>
      <c r="P72" s="9"/>
    </row>
    <row r="73" spans="1:22" ht="11.85" customHeight="1" x14ac:dyDescent="0.2">
      <c r="L73" s="9"/>
      <c r="N73" s="9"/>
      <c r="P73" s="9"/>
    </row>
    <row r="74" spans="1:22" ht="11.85" customHeight="1" x14ac:dyDescent="0.2">
      <c r="L74" s="9"/>
      <c r="N74" s="9"/>
      <c r="P74" s="9"/>
    </row>
    <row r="75" spans="1:22" ht="11.85" customHeight="1" x14ac:dyDescent="0.2">
      <c r="A75" s="1"/>
      <c r="B75" s="1"/>
      <c r="E75" s="2" t="str">
        <f>$E$1</f>
        <v>CITY OF BRADY</v>
      </c>
    </row>
    <row r="76" spans="1:22" ht="11.85" customHeight="1" x14ac:dyDescent="0.2">
      <c r="E76" s="2" t="str">
        <f>$E$2</f>
        <v>BUDGET REPORT</v>
      </c>
    </row>
    <row r="77" spans="1:22" ht="11.85" customHeight="1" x14ac:dyDescent="0.2">
      <c r="E77" s="2" t="str">
        <f>$E$3</f>
        <v>FISCAL YEAR 2024 - 2025</v>
      </c>
    </row>
    <row r="78" spans="1:22" ht="11.85" customHeight="1" x14ac:dyDescent="0.2">
      <c r="A78" s="3" t="s">
        <v>3</v>
      </c>
    </row>
    <row r="79" spans="1:22" ht="11.85" customHeight="1" x14ac:dyDescent="0.2"/>
    <row r="80" spans="1:22" ht="11.85" customHeight="1" x14ac:dyDescent="0.2">
      <c r="I80" s="53" t="str">
        <f>$I$6</f>
        <v>(----- 2023-2024------)</v>
      </c>
      <c r="J80" s="53"/>
      <c r="K80" s="53"/>
      <c r="L80" s="6"/>
      <c r="M80" s="54" t="str">
        <f>$M$6</f>
        <v>2024-2025</v>
      </c>
      <c r="N80" s="54"/>
      <c r="O80" s="54"/>
      <c r="P80" s="54"/>
      <c r="Q80" s="54"/>
    </row>
    <row r="81" spans="1:27" ht="11.85" customHeight="1" x14ac:dyDescent="0.2">
      <c r="C81" s="5" t="str">
        <f>$C$7</f>
        <v>2020-2021</v>
      </c>
      <c r="D81" s="5"/>
      <c r="E81" s="5" t="str">
        <f>$E$7</f>
        <v>2021-2022</v>
      </c>
      <c r="F81" s="5"/>
      <c r="G81" s="5" t="str">
        <f>$G$7</f>
        <v>2022-2023</v>
      </c>
      <c r="H81" s="5"/>
      <c r="I81" s="5" t="s">
        <v>9</v>
      </c>
      <c r="J81" s="5"/>
      <c r="K81" s="5" t="str">
        <f>+$K$7</f>
        <v>PROJECTED</v>
      </c>
      <c r="L81" s="6"/>
      <c r="M81" s="5">
        <f>$M$7</f>
        <v>0</v>
      </c>
      <c r="N81" s="6"/>
      <c r="O81" s="5" t="str">
        <f>$O$7</f>
        <v>2024-2025</v>
      </c>
      <c r="P81" s="6"/>
      <c r="Q81" s="5" t="str">
        <f>$Q$7</f>
        <v>APPROVED</v>
      </c>
    </row>
    <row r="82" spans="1:27" ht="11.85" customHeight="1" x14ac:dyDescent="0.2">
      <c r="A82" s="7"/>
      <c r="C82" s="8" t="s">
        <v>12</v>
      </c>
      <c r="D82" s="5"/>
      <c r="E82" s="8" t="s">
        <v>12</v>
      </c>
      <c r="F82" s="5"/>
      <c r="G82" s="8" t="s">
        <v>12</v>
      </c>
      <c r="H82" s="5"/>
      <c r="I82" s="8" t="s">
        <v>13</v>
      </c>
      <c r="J82" s="5"/>
      <c r="K82" s="8" t="s">
        <v>13</v>
      </c>
      <c r="L82" s="6"/>
      <c r="M82" s="8" t="str">
        <f>$M$8</f>
        <v>BASE</v>
      </c>
      <c r="N82" s="6"/>
      <c r="O82" s="8" t="str">
        <f>$O$8</f>
        <v>SUPPLEMENTAL</v>
      </c>
      <c r="P82" s="6"/>
      <c r="Q82" s="8" t="str">
        <f>$Q$8</f>
        <v>BUDGET</v>
      </c>
    </row>
    <row r="83" spans="1:27" ht="11.25" customHeight="1" x14ac:dyDescent="0.2">
      <c r="L83" s="9"/>
      <c r="N83" s="9"/>
      <c r="P83" s="9"/>
    </row>
    <row r="84" spans="1:27" ht="11.85" customHeight="1" x14ac:dyDescent="0.2">
      <c r="A84" s="10" t="s">
        <v>71</v>
      </c>
      <c r="L84" s="9"/>
      <c r="N84" s="9"/>
      <c r="P84" s="9"/>
    </row>
    <row r="85" spans="1:27" ht="11.85" customHeight="1" x14ac:dyDescent="0.2">
      <c r="A85" s="3" t="s">
        <v>72</v>
      </c>
      <c r="C85" s="2">
        <v>854.5</v>
      </c>
      <c r="E85" s="2">
        <v>895.43</v>
      </c>
      <c r="G85" s="2">
        <v>426</v>
      </c>
      <c r="I85" s="2">
        <v>500</v>
      </c>
      <c r="K85" s="2">
        <v>500</v>
      </c>
      <c r="L85" s="9"/>
      <c r="M85" s="2">
        <v>500</v>
      </c>
      <c r="N85" s="9"/>
      <c r="O85" s="2">
        <v>0</v>
      </c>
      <c r="P85" s="9"/>
      <c r="Q85" s="2">
        <f t="shared" ref="Q85:Q93" si="2">M85+O85</f>
        <v>500</v>
      </c>
      <c r="AA85" s="9"/>
    </row>
    <row r="86" spans="1:27" ht="11.85" hidden="1" customHeight="1" x14ac:dyDescent="0.2">
      <c r="A86" s="3" t="s">
        <v>73</v>
      </c>
      <c r="C86" s="2">
        <v>0</v>
      </c>
      <c r="E86" s="2">
        <v>0</v>
      </c>
      <c r="G86" s="2">
        <v>0</v>
      </c>
      <c r="I86" s="2">
        <v>0</v>
      </c>
      <c r="K86" s="2">
        <v>0</v>
      </c>
      <c r="L86" s="9"/>
      <c r="M86" s="2">
        <v>0</v>
      </c>
      <c r="N86" s="9"/>
      <c r="O86" s="2">
        <v>0</v>
      </c>
      <c r="P86" s="9"/>
      <c r="Q86" s="2">
        <f t="shared" si="2"/>
        <v>0</v>
      </c>
      <c r="AA86" s="9"/>
    </row>
    <row r="87" spans="1:27" ht="11.85" customHeight="1" x14ac:dyDescent="0.2">
      <c r="A87" s="3" t="s">
        <v>74</v>
      </c>
      <c r="C87" s="2">
        <v>0</v>
      </c>
      <c r="E87" s="2">
        <v>0</v>
      </c>
      <c r="G87" s="2">
        <v>21895.43</v>
      </c>
      <c r="K87" s="2">
        <v>0</v>
      </c>
      <c r="L87" s="9"/>
      <c r="M87" s="2">
        <v>0</v>
      </c>
      <c r="N87" s="9"/>
      <c r="O87" s="2">
        <v>0</v>
      </c>
      <c r="P87" s="9"/>
      <c r="Q87" s="2">
        <f t="shared" si="2"/>
        <v>0</v>
      </c>
      <c r="AA87" s="9"/>
    </row>
    <row r="88" spans="1:27" ht="11.85" customHeight="1" x14ac:dyDescent="0.2">
      <c r="A88" s="3" t="s">
        <v>75</v>
      </c>
      <c r="C88" s="2">
        <v>24.89</v>
      </c>
      <c r="E88" s="2">
        <v>51.58</v>
      </c>
      <c r="G88" s="2">
        <v>66.56</v>
      </c>
      <c r="I88" s="2">
        <v>0</v>
      </c>
      <c r="K88" s="2">
        <v>0</v>
      </c>
      <c r="L88" s="9"/>
      <c r="M88" s="2">
        <v>0</v>
      </c>
      <c r="N88" s="9"/>
      <c r="O88" s="2">
        <v>0</v>
      </c>
      <c r="P88" s="9"/>
      <c r="Q88" s="2">
        <f t="shared" si="2"/>
        <v>0</v>
      </c>
      <c r="AA88" s="9"/>
    </row>
    <row r="89" spans="1:27" ht="11.85" customHeight="1" x14ac:dyDescent="0.2">
      <c r="A89" s="3" t="s">
        <v>76</v>
      </c>
      <c r="C89" s="2">
        <v>89026.12</v>
      </c>
      <c r="E89" s="2">
        <v>142009.10999999999</v>
      </c>
      <c r="G89" s="2">
        <v>193255.14</v>
      </c>
      <c r="I89" s="2">
        <v>150000</v>
      </c>
      <c r="K89" s="2">
        <f>150000+45000</f>
        <v>195000</v>
      </c>
      <c r="L89" s="9"/>
      <c r="M89" s="2">
        <v>190000</v>
      </c>
      <c r="N89" s="9"/>
      <c r="O89" s="2">
        <v>0</v>
      </c>
      <c r="P89" s="9"/>
      <c r="Q89" s="2">
        <f t="shared" si="2"/>
        <v>190000</v>
      </c>
    </row>
    <row r="90" spans="1:27" ht="11.85" customHeight="1" x14ac:dyDescent="0.2">
      <c r="A90" s="3" t="s">
        <v>77</v>
      </c>
      <c r="C90" s="2">
        <v>1222.29</v>
      </c>
      <c r="E90" s="2">
        <v>2534.54</v>
      </c>
      <c r="G90" s="2">
        <v>0</v>
      </c>
      <c r="I90" s="2">
        <v>0</v>
      </c>
      <c r="K90" s="2">
        <v>0</v>
      </c>
      <c r="L90" s="9"/>
      <c r="M90" s="2">
        <v>0</v>
      </c>
      <c r="N90" s="9"/>
      <c r="O90" s="2">
        <v>0</v>
      </c>
      <c r="P90" s="9"/>
      <c r="Q90" s="2">
        <f t="shared" si="2"/>
        <v>0</v>
      </c>
    </row>
    <row r="91" spans="1:27" ht="11.85" customHeight="1" x14ac:dyDescent="0.2">
      <c r="A91" s="3" t="s">
        <v>78</v>
      </c>
      <c r="C91" s="2">
        <v>997.67</v>
      </c>
      <c r="E91" s="2">
        <v>2069.33</v>
      </c>
      <c r="G91" s="2">
        <v>0</v>
      </c>
      <c r="I91" s="2">
        <v>0</v>
      </c>
      <c r="K91" s="2">
        <v>0</v>
      </c>
      <c r="L91" s="9"/>
      <c r="M91" s="2">
        <v>0</v>
      </c>
      <c r="N91" s="9"/>
      <c r="O91" s="2">
        <v>0</v>
      </c>
      <c r="P91" s="9"/>
      <c r="Q91" s="2">
        <f t="shared" si="2"/>
        <v>0</v>
      </c>
    </row>
    <row r="92" spans="1:27" ht="11.85" customHeight="1" x14ac:dyDescent="0.2">
      <c r="A92" s="3" t="s">
        <v>79</v>
      </c>
      <c r="C92" s="2">
        <v>1297.23</v>
      </c>
      <c r="E92" s="2">
        <v>2586.2800000000002</v>
      </c>
      <c r="G92" s="2">
        <v>3331.45</v>
      </c>
      <c r="I92" s="2">
        <v>1500</v>
      </c>
      <c r="K92" s="2">
        <v>1500</v>
      </c>
      <c r="L92" s="9"/>
      <c r="M92" s="2">
        <v>2000</v>
      </c>
      <c r="N92" s="9"/>
      <c r="O92" s="2">
        <v>0</v>
      </c>
      <c r="P92" s="9"/>
      <c r="Q92" s="2">
        <f t="shared" si="2"/>
        <v>2000</v>
      </c>
    </row>
    <row r="93" spans="1:27" ht="11.85" customHeight="1" x14ac:dyDescent="0.2">
      <c r="A93" s="3" t="s">
        <v>80</v>
      </c>
      <c r="C93" s="12">
        <v>4972.51</v>
      </c>
      <c r="E93" s="12">
        <v>7039.11</v>
      </c>
      <c r="G93" s="12">
        <v>13195</v>
      </c>
      <c r="I93" s="12">
        <v>10000</v>
      </c>
      <c r="K93" s="12">
        <v>10000</v>
      </c>
      <c r="L93" s="9"/>
      <c r="M93" s="12">
        <v>10000</v>
      </c>
      <c r="N93" s="9"/>
      <c r="O93" s="12">
        <v>0</v>
      </c>
      <c r="P93" s="9"/>
      <c r="Q93" s="12">
        <f t="shared" si="2"/>
        <v>10000</v>
      </c>
    </row>
    <row r="94" spans="1:27" ht="11.85" customHeight="1" x14ac:dyDescent="0.2">
      <c r="A94" s="3" t="s">
        <v>81</v>
      </c>
      <c r="C94" s="2">
        <f>SUM(C85:C93)</f>
        <v>98395.209999999977</v>
      </c>
      <c r="E94" s="2">
        <f>SUM(E85:E93)</f>
        <v>157185.37999999998</v>
      </c>
      <c r="G94" s="2">
        <f>SUM(G85:G93)</f>
        <v>232169.58000000002</v>
      </c>
      <c r="I94" s="2">
        <f>SUM(I85:I93)</f>
        <v>162000</v>
      </c>
      <c r="K94" s="2">
        <f>SUM(K85:K93)</f>
        <v>207000</v>
      </c>
      <c r="L94" s="9"/>
      <c r="M94" s="2">
        <f>SUM(M85:M93)</f>
        <v>202500</v>
      </c>
      <c r="N94" s="9"/>
      <c r="O94" s="2">
        <f>SUM(O85:O91)</f>
        <v>0</v>
      </c>
      <c r="P94" s="9"/>
      <c r="Q94" s="2">
        <f>SUM(Q85:Q93)</f>
        <v>202500</v>
      </c>
      <c r="R94" s="9"/>
      <c r="T94" s="14"/>
    </row>
    <row r="95" spans="1:27" ht="11.85" customHeight="1" x14ac:dyDescent="0.2">
      <c r="L95" s="9"/>
      <c r="N95" s="9"/>
      <c r="P95" s="9"/>
    </row>
    <row r="96" spans="1:27" ht="11.85" customHeight="1" x14ac:dyDescent="0.2">
      <c r="A96" s="10" t="s">
        <v>82</v>
      </c>
      <c r="L96" s="9"/>
      <c r="N96" s="9"/>
      <c r="P96" s="9"/>
    </row>
    <row r="97" spans="1:31" ht="11.85" hidden="1" customHeight="1" x14ac:dyDescent="0.2">
      <c r="A97" s="3" t="s">
        <v>83</v>
      </c>
      <c r="C97" s="2">
        <v>0</v>
      </c>
      <c r="E97" s="2">
        <v>0</v>
      </c>
      <c r="G97" s="2">
        <v>0</v>
      </c>
      <c r="I97" s="2">
        <v>0</v>
      </c>
      <c r="K97" s="2">
        <v>0</v>
      </c>
      <c r="L97" s="9"/>
      <c r="M97" s="2">
        <v>0</v>
      </c>
      <c r="N97" s="9"/>
      <c r="O97" s="2">
        <v>0</v>
      </c>
      <c r="P97" s="9"/>
      <c r="Q97" s="2">
        <f>M97+O97</f>
        <v>0</v>
      </c>
      <c r="U97" s="9"/>
    </row>
    <row r="98" spans="1:31" ht="11.85" customHeight="1" x14ac:dyDescent="0.2">
      <c r="A98" s="3" t="s">
        <v>84</v>
      </c>
      <c r="C98" s="2">
        <v>517008</v>
      </c>
      <c r="E98" s="2">
        <v>522000</v>
      </c>
      <c r="G98" s="2">
        <v>430008</v>
      </c>
      <c r="I98" s="2">
        <v>470000</v>
      </c>
      <c r="K98" s="2">
        <v>470000</v>
      </c>
      <c r="L98" s="9"/>
      <c r="M98" s="2">
        <v>472000</v>
      </c>
      <c r="N98" s="9"/>
      <c r="O98" s="2">
        <v>0</v>
      </c>
      <c r="P98" s="9"/>
      <c r="Q98" s="2">
        <f>M98+O98</f>
        <v>472000</v>
      </c>
      <c r="U98" s="9"/>
    </row>
    <row r="99" spans="1:31" ht="11.85" customHeight="1" x14ac:dyDescent="0.2">
      <c r="A99" s="3" t="s">
        <v>85</v>
      </c>
      <c r="C99" s="2">
        <v>0</v>
      </c>
      <c r="E99" s="2">
        <v>0</v>
      </c>
      <c r="G99" s="2">
        <v>0</v>
      </c>
      <c r="I99" s="2">
        <v>0</v>
      </c>
      <c r="K99" s="2">
        <v>0</v>
      </c>
      <c r="L99" s="9"/>
      <c r="M99" s="2">
        <v>0</v>
      </c>
      <c r="N99" s="9"/>
      <c r="O99" s="2">
        <v>0</v>
      </c>
      <c r="P99" s="9"/>
      <c r="Q99" s="2">
        <f>M99+O99</f>
        <v>0</v>
      </c>
      <c r="U99" s="9"/>
    </row>
    <row r="100" spans="1:31" ht="11.85" customHeight="1" x14ac:dyDescent="0.2">
      <c r="A100" s="3" t="s">
        <v>86</v>
      </c>
      <c r="C100" s="2">
        <v>8725</v>
      </c>
      <c r="E100" s="2">
        <v>9850</v>
      </c>
      <c r="G100" s="2">
        <v>8725</v>
      </c>
      <c r="I100" s="2">
        <v>8000</v>
      </c>
      <c r="K100" s="2">
        <v>8000</v>
      </c>
      <c r="L100" s="9"/>
      <c r="M100" s="2">
        <v>8000</v>
      </c>
      <c r="N100" s="9"/>
      <c r="O100" s="2">
        <v>0</v>
      </c>
      <c r="P100" s="9"/>
      <c r="Q100" s="2">
        <f t="shared" ref="Q100:Q107" si="3">M100+O100</f>
        <v>8000</v>
      </c>
      <c r="W100" s="9"/>
    </row>
    <row r="101" spans="1:31" ht="11.85" customHeight="1" x14ac:dyDescent="0.2">
      <c r="A101" s="3" t="s">
        <v>87</v>
      </c>
      <c r="C101" s="2">
        <v>1300</v>
      </c>
      <c r="E101" s="2">
        <v>985</v>
      </c>
      <c r="G101" s="2">
        <v>1005</v>
      </c>
      <c r="I101" s="2">
        <v>1000</v>
      </c>
      <c r="K101" s="2">
        <v>1000</v>
      </c>
      <c r="L101" s="9"/>
      <c r="M101" s="2">
        <v>1000</v>
      </c>
      <c r="N101" s="9"/>
      <c r="O101" s="2">
        <v>0</v>
      </c>
      <c r="P101" s="9"/>
      <c r="Q101" s="2">
        <f t="shared" si="3"/>
        <v>1000</v>
      </c>
      <c r="W101" s="9"/>
    </row>
    <row r="102" spans="1:31" ht="11.85" customHeight="1" x14ac:dyDescent="0.2">
      <c r="A102" s="3" t="s">
        <v>88</v>
      </c>
      <c r="C102" s="2">
        <v>11437.01</v>
      </c>
      <c r="E102" s="2">
        <f>12341.19+0.51</f>
        <v>12341.7</v>
      </c>
      <c r="G102" s="2">
        <v>12546</v>
      </c>
      <c r="I102" s="2">
        <v>10000</v>
      </c>
      <c r="K102" s="2">
        <v>10000</v>
      </c>
      <c r="L102" s="9"/>
      <c r="M102" s="2">
        <v>10000</v>
      </c>
      <c r="N102" s="9"/>
      <c r="O102" s="2">
        <v>0</v>
      </c>
      <c r="P102" s="9"/>
      <c r="Q102" s="2">
        <f t="shared" si="3"/>
        <v>10000</v>
      </c>
      <c r="Y102" s="9"/>
    </row>
    <row r="103" spans="1:31" ht="11.85" hidden="1" customHeight="1" x14ac:dyDescent="0.2">
      <c r="A103" s="3" t="s">
        <v>89</v>
      </c>
      <c r="C103" s="2">
        <v>0</v>
      </c>
      <c r="E103" s="2">
        <v>0</v>
      </c>
      <c r="G103" s="2">
        <v>0</v>
      </c>
      <c r="I103" s="2">
        <v>0</v>
      </c>
      <c r="K103" s="2">
        <v>0</v>
      </c>
      <c r="L103" s="9"/>
      <c r="M103" s="2">
        <v>0</v>
      </c>
      <c r="N103" s="9"/>
      <c r="O103" s="2">
        <v>0</v>
      </c>
      <c r="P103" s="9"/>
      <c r="Q103" s="2">
        <f t="shared" si="3"/>
        <v>0</v>
      </c>
      <c r="Z103" s="9"/>
    </row>
    <row r="104" spans="1:31" ht="11.85" customHeight="1" x14ac:dyDescent="0.2">
      <c r="A104" s="3" t="s">
        <v>90</v>
      </c>
      <c r="C104" s="2">
        <v>1887.5</v>
      </c>
      <c r="E104" s="2">
        <v>10545</v>
      </c>
      <c r="G104" s="2">
        <v>6357.5</v>
      </c>
      <c r="I104" s="2">
        <v>3000</v>
      </c>
      <c r="K104" s="2">
        <v>3000</v>
      </c>
      <c r="L104" s="9"/>
      <c r="M104" s="2">
        <v>5000</v>
      </c>
      <c r="N104" s="9"/>
      <c r="O104" s="2">
        <v>0</v>
      </c>
      <c r="P104" s="9"/>
      <c r="Q104" s="2">
        <f t="shared" si="3"/>
        <v>5000</v>
      </c>
      <c r="AE104" s="9"/>
    </row>
    <row r="105" spans="1:31" ht="11.85" customHeight="1" x14ac:dyDescent="0.2">
      <c r="A105" s="3" t="s">
        <v>91</v>
      </c>
      <c r="C105" s="2">
        <v>304857.15999999997</v>
      </c>
      <c r="E105" s="2">
        <v>295589.09999999998</v>
      </c>
      <c r="G105" s="2">
        <v>302246.98</v>
      </c>
      <c r="I105" s="2">
        <v>290000</v>
      </c>
      <c r="K105" s="2">
        <v>290000</v>
      </c>
      <c r="L105" s="9"/>
      <c r="M105" s="2">
        <v>300000</v>
      </c>
      <c r="N105" s="9"/>
      <c r="O105" s="2">
        <v>0</v>
      </c>
      <c r="P105" s="9"/>
      <c r="Q105" s="2">
        <f t="shared" si="3"/>
        <v>300000</v>
      </c>
    </row>
    <row r="106" spans="1:31" ht="11.85" customHeight="1" x14ac:dyDescent="0.2">
      <c r="A106" s="3" t="s">
        <v>92</v>
      </c>
      <c r="C106" s="12">
        <v>1650</v>
      </c>
      <c r="E106" s="12">
        <v>1725</v>
      </c>
      <c r="G106" s="12">
        <v>2625</v>
      </c>
      <c r="I106" s="12">
        <v>1500</v>
      </c>
      <c r="K106" s="12">
        <v>1500</v>
      </c>
      <c r="L106" s="9"/>
      <c r="M106" s="12">
        <v>1500</v>
      </c>
      <c r="N106" s="9"/>
      <c r="O106" s="12">
        <v>0</v>
      </c>
      <c r="P106" s="9"/>
      <c r="Q106" s="12">
        <f t="shared" si="3"/>
        <v>1500</v>
      </c>
    </row>
    <row r="107" spans="1:31" ht="11.85" hidden="1" customHeight="1" x14ac:dyDescent="0.2">
      <c r="A107" s="3" t="s">
        <v>93</v>
      </c>
      <c r="C107" s="12">
        <v>0</v>
      </c>
      <c r="E107" s="12">
        <v>0</v>
      </c>
      <c r="G107" s="12">
        <v>0</v>
      </c>
      <c r="I107" s="12">
        <v>0</v>
      </c>
      <c r="K107" s="12">
        <v>0</v>
      </c>
      <c r="L107" s="9"/>
      <c r="M107" s="12">
        <v>0</v>
      </c>
      <c r="N107" s="9"/>
      <c r="O107" s="12">
        <v>0</v>
      </c>
      <c r="P107" s="9"/>
      <c r="Q107" s="12">
        <f t="shared" si="3"/>
        <v>0</v>
      </c>
    </row>
    <row r="108" spans="1:31" ht="11.85" customHeight="1" x14ac:dyDescent="0.2">
      <c r="A108" s="3" t="s">
        <v>94</v>
      </c>
      <c r="C108" s="2">
        <f>SUM(C97:C107)</f>
        <v>846864.66999999993</v>
      </c>
      <c r="E108" s="2">
        <f>SUM(E97:E107)</f>
        <v>853035.79999999993</v>
      </c>
      <c r="G108" s="2">
        <f>SUM(G97:G107)</f>
        <v>763513.48</v>
      </c>
      <c r="I108" s="2">
        <f>SUM(I97:I107)</f>
        <v>783500</v>
      </c>
      <c r="K108" s="2">
        <f>SUM(K97:K107)</f>
        <v>783500</v>
      </c>
      <c r="L108" s="9"/>
      <c r="M108" s="2">
        <f>SUM(M97:M107)</f>
        <v>797500</v>
      </c>
      <c r="N108" s="9"/>
      <c r="O108" s="2">
        <f>SUM(O97:O107)</f>
        <v>0</v>
      </c>
      <c r="P108" s="9"/>
      <c r="Q108" s="2">
        <f>SUM(Q97:Q107)</f>
        <v>797500</v>
      </c>
      <c r="T108" s="14"/>
    </row>
    <row r="109" spans="1:31" ht="11.85" customHeight="1" x14ac:dyDescent="0.2">
      <c r="L109" s="9"/>
      <c r="N109" s="9"/>
      <c r="P109" s="9"/>
    </row>
    <row r="110" spans="1:31" ht="11.85" customHeight="1" x14ac:dyDescent="0.2">
      <c r="A110" s="10" t="s">
        <v>95</v>
      </c>
      <c r="L110" s="9"/>
      <c r="N110" s="9"/>
      <c r="P110" s="9"/>
    </row>
    <row r="111" spans="1:31" ht="11.85" customHeight="1" x14ac:dyDescent="0.2">
      <c r="A111" s="3" t="s">
        <v>96</v>
      </c>
      <c r="C111" s="2">
        <f>11970+8290</f>
        <v>20260</v>
      </c>
      <c r="E111" s="2">
        <f>11465+8830</f>
        <v>20295</v>
      </c>
      <c r="G111" s="2">
        <f>23727.05+720</f>
        <v>24447.05</v>
      </c>
      <c r="I111" s="2">
        <v>20000</v>
      </c>
      <c r="K111" s="2">
        <v>20000</v>
      </c>
      <c r="L111" s="9"/>
      <c r="M111" s="2">
        <v>26000</v>
      </c>
      <c r="N111" s="9"/>
      <c r="O111" s="2">
        <v>0</v>
      </c>
      <c r="P111" s="9"/>
      <c r="Q111" s="2">
        <f t="shared" ref="Q111:Q119" si="4">M111+O111</f>
        <v>26000</v>
      </c>
    </row>
    <row r="112" spans="1:31" ht="11.85" customHeight="1" x14ac:dyDescent="0.2">
      <c r="A112" s="3" t="s">
        <v>97</v>
      </c>
      <c r="C112" s="2">
        <v>10725</v>
      </c>
      <c r="E112" s="2">
        <v>11730</v>
      </c>
      <c r="G112" s="2">
        <v>11305</v>
      </c>
      <c r="I112" s="2">
        <v>10000</v>
      </c>
      <c r="K112" s="2">
        <v>10000</v>
      </c>
      <c r="L112" s="9"/>
      <c r="M112" s="2">
        <v>12000</v>
      </c>
      <c r="N112" s="9"/>
      <c r="O112" s="2">
        <v>0</v>
      </c>
      <c r="P112" s="9"/>
      <c r="Q112" s="2">
        <f t="shared" si="4"/>
        <v>12000</v>
      </c>
    </row>
    <row r="113" spans="1:22" ht="11.85" customHeight="1" x14ac:dyDescent="0.2">
      <c r="A113" s="3" t="s">
        <v>98</v>
      </c>
      <c r="C113" s="2">
        <v>0</v>
      </c>
      <c r="E113" s="2">
        <v>0</v>
      </c>
      <c r="G113" s="2">
        <v>663</v>
      </c>
      <c r="K113" s="2">
        <v>0</v>
      </c>
      <c r="L113" s="9"/>
      <c r="M113" s="2">
        <v>300</v>
      </c>
      <c r="N113" s="9"/>
      <c r="O113" s="2">
        <v>0</v>
      </c>
      <c r="P113" s="9"/>
      <c r="Q113" s="2">
        <f t="shared" si="4"/>
        <v>300</v>
      </c>
    </row>
    <row r="114" spans="1:22" ht="11.85" customHeight="1" x14ac:dyDescent="0.2">
      <c r="A114" s="3" t="s">
        <v>99</v>
      </c>
      <c r="C114" s="2">
        <v>0</v>
      </c>
      <c r="E114" s="2">
        <v>1740</v>
      </c>
      <c r="G114" s="2">
        <v>1740</v>
      </c>
      <c r="I114" s="2">
        <v>1740</v>
      </c>
      <c r="K114" s="2">
        <v>1740</v>
      </c>
      <c r="L114" s="9"/>
      <c r="M114" s="2">
        <v>1740</v>
      </c>
      <c r="N114" s="9"/>
      <c r="O114" s="2">
        <v>0</v>
      </c>
      <c r="P114" s="9"/>
      <c r="Q114" s="2">
        <f>M114+O114</f>
        <v>1740</v>
      </c>
      <c r="U114" s="9"/>
    </row>
    <row r="115" spans="1:22" ht="11.85" customHeight="1" x14ac:dyDescent="0.2">
      <c r="A115" s="3" t="s">
        <v>100</v>
      </c>
      <c r="C115" s="2">
        <v>600</v>
      </c>
      <c r="E115" s="2">
        <v>600</v>
      </c>
      <c r="G115" s="2">
        <v>600</v>
      </c>
      <c r="I115" s="2">
        <v>600</v>
      </c>
      <c r="K115" s="2">
        <v>600</v>
      </c>
      <c r="L115" s="9"/>
      <c r="M115" s="2">
        <v>600</v>
      </c>
      <c r="N115" s="9"/>
      <c r="O115" s="2">
        <v>0</v>
      </c>
      <c r="P115" s="9"/>
      <c r="Q115" s="2">
        <f t="shared" si="4"/>
        <v>600</v>
      </c>
    </row>
    <row r="116" spans="1:22" ht="11.85" customHeight="1" x14ac:dyDescent="0.2">
      <c r="A116" s="3" t="s">
        <v>101</v>
      </c>
      <c r="C116" s="2">
        <v>542.1</v>
      </c>
      <c r="E116" s="2">
        <v>386.2</v>
      </c>
      <c r="G116" s="2">
        <v>819.75</v>
      </c>
      <c r="I116" s="2">
        <v>0</v>
      </c>
      <c r="K116" s="2">
        <v>0</v>
      </c>
      <c r="L116" s="9"/>
      <c r="M116" s="2">
        <v>600</v>
      </c>
      <c r="N116" s="9"/>
      <c r="O116" s="2">
        <v>0</v>
      </c>
      <c r="P116" s="9"/>
      <c r="Q116" s="2">
        <f t="shared" si="4"/>
        <v>600</v>
      </c>
    </row>
    <row r="117" spans="1:22" ht="11.85" customHeight="1" x14ac:dyDescent="0.2">
      <c r="A117" s="3" t="s">
        <v>102</v>
      </c>
      <c r="C117" s="2">
        <v>56476.25</v>
      </c>
      <c r="E117" s="2">
        <v>71025.440000000002</v>
      </c>
      <c r="G117" s="2">
        <v>79300.350000000006</v>
      </c>
      <c r="I117" s="2">
        <v>70000</v>
      </c>
      <c r="K117" s="2">
        <f>70000+20000</f>
        <v>90000</v>
      </c>
      <c r="L117" s="9"/>
      <c r="M117" s="2">
        <v>70000</v>
      </c>
      <c r="N117" s="9"/>
      <c r="O117" s="2">
        <v>0</v>
      </c>
      <c r="P117" s="9"/>
      <c r="Q117" s="2">
        <f t="shared" si="4"/>
        <v>70000</v>
      </c>
    </row>
    <row r="118" spans="1:22" ht="11.85" customHeight="1" x14ac:dyDescent="0.2">
      <c r="A118" s="3" t="s">
        <v>103</v>
      </c>
      <c r="C118" s="2">
        <v>120406.08</v>
      </c>
      <c r="E118" s="2">
        <v>122186.97</v>
      </c>
      <c r="G118" s="2">
        <v>139391.51</v>
      </c>
      <c r="I118" s="2">
        <v>180000</v>
      </c>
      <c r="K118" s="2">
        <v>180000</v>
      </c>
      <c r="L118" s="9"/>
      <c r="M118" s="2">
        <v>180000</v>
      </c>
      <c r="N118" s="9"/>
      <c r="O118" s="2">
        <v>0</v>
      </c>
      <c r="P118" s="9"/>
      <c r="Q118" s="2">
        <f t="shared" si="4"/>
        <v>180000</v>
      </c>
    </row>
    <row r="119" spans="1:22" ht="11.85" customHeight="1" x14ac:dyDescent="0.2">
      <c r="A119" s="3" t="s">
        <v>104</v>
      </c>
      <c r="C119" s="12">
        <v>51783.05</v>
      </c>
      <c r="E119" s="12">
        <v>36539.040000000001</v>
      </c>
      <c r="G119" s="12">
        <v>42087.54</v>
      </c>
      <c r="I119" s="12">
        <v>0</v>
      </c>
      <c r="K119" s="12">
        <v>0</v>
      </c>
      <c r="L119" s="9"/>
      <c r="M119" s="12">
        <v>0</v>
      </c>
      <c r="N119" s="9"/>
      <c r="O119" s="12">
        <v>0</v>
      </c>
      <c r="P119" s="9"/>
      <c r="Q119" s="12">
        <f t="shared" si="4"/>
        <v>0</v>
      </c>
      <c r="V119" s="17"/>
    </row>
    <row r="120" spans="1:22" ht="11.85" customHeight="1" x14ac:dyDescent="0.2">
      <c r="A120" s="3" t="s">
        <v>105</v>
      </c>
      <c r="C120" s="2">
        <f>SUM(C111:C119)</f>
        <v>260792.47999999998</v>
      </c>
      <c r="E120" s="2">
        <f>SUM(E111:E119)</f>
        <v>264502.64999999997</v>
      </c>
      <c r="G120" s="2">
        <f>SUM(G111:G119)</f>
        <v>300354.2</v>
      </c>
      <c r="I120" s="2">
        <f>SUM(I111:I119)</f>
        <v>282340</v>
      </c>
      <c r="K120" s="2">
        <f>SUM(K111:K119)</f>
        <v>302340</v>
      </c>
      <c r="L120" s="9"/>
      <c r="M120" s="2">
        <f>SUM(M111:M119)</f>
        <v>291240</v>
      </c>
      <c r="N120" s="9"/>
      <c r="O120" s="2">
        <f>SUM(O111:O119)</f>
        <v>0</v>
      </c>
      <c r="P120" s="9"/>
      <c r="Q120" s="2">
        <f>SUM(Q111:Q119)</f>
        <v>291240</v>
      </c>
      <c r="R120" s="13"/>
      <c r="T120" s="14"/>
    </row>
    <row r="122" spans="1:22" ht="11.85" customHeight="1" x14ac:dyDescent="0.2">
      <c r="A122" s="10" t="s">
        <v>106</v>
      </c>
      <c r="L122" s="9"/>
      <c r="N122" s="9"/>
      <c r="P122" s="9"/>
    </row>
    <row r="123" spans="1:22" ht="11.85" customHeight="1" x14ac:dyDescent="0.2">
      <c r="A123" s="3" t="s">
        <v>107</v>
      </c>
      <c r="C123" s="2">
        <v>1569</v>
      </c>
      <c r="E123" s="2">
        <v>1955</v>
      </c>
      <c r="G123" s="2">
        <v>1961.4</v>
      </c>
      <c r="I123" s="2">
        <v>1500</v>
      </c>
      <c r="K123" s="2">
        <v>1500</v>
      </c>
      <c r="L123" s="9"/>
      <c r="M123" s="2">
        <v>1500</v>
      </c>
      <c r="N123" s="9"/>
      <c r="O123" s="2">
        <v>0</v>
      </c>
      <c r="P123" s="9"/>
      <c r="Q123" s="2">
        <f t="shared" ref="Q123:Q134" si="5">M123+O123</f>
        <v>1500</v>
      </c>
    </row>
    <row r="124" spans="1:22" ht="11.85" customHeight="1" x14ac:dyDescent="0.2">
      <c r="A124" s="3" t="s">
        <v>108</v>
      </c>
      <c r="C124" s="2">
        <v>16827.5</v>
      </c>
      <c r="E124" s="2">
        <v>15372.5</v>
      </c>
      <c r="G124" s="2">
        <v>16767.84</v>
      </c>
      <c r="I124" s="2">
        <v>15000</v>
      </c>
      <c r="K124" s="2">
        <v>15000</v>
      </c>
      <c r="L124" s="9"/>
      <c r="M124" s="2">
        <v>15000</v>
      </c>
      <c r="N124" s="9"/>
      <c r="O124" s="2">
        <v>0</v>
      </c>
      <c r="P124" s="9"/>
      <c r="Q124" s="2">
        <f t="shared" si="5"/>
        <v>15000</v>
      </c>
    </row>
    <row r="125" spans="1:22" ht="11.85" customHeight="1" x14ac:dyDescent="0.2">
      <c r="A125" s="3" t="s">
        <v>109</v>
      </c>
      <c r="C125" s="2">
        <v>27079.040000000001</v>
      </c>
      <c r="E125" s="2">
        <v>28544.639999999999</v>
      </c>
      <c r="G125" s="2">
        <v>28663.71</v>
      </c>
      <c r="I125" s="2">
        <v>25000</v>
      </c>
      <c r="K125" s="2">
        <v>25000</v>
      </c>
      <c r="L125" s="9"/>
      <c r="M125" s="2">
        <v>25000</v>
      </c>
      <c r="N125" s="9"/>
      <c r="O125" s="2">
        <v>0</v>
      </c>
      <c r="P125" s="9"/>
      <c r="Q125" s="2">
        <f t="shared" si="5"/>
        <v>25000</v>
      </c>
    </row>
    <row r="126" spans="1:22" ht="11.85" customHeight="1" x14ac:dyDescent="0.2">
      <c r="A126" s="3" t="s">
        <v>110</v>
      </c>
      <c r="C126" s="2">
        <v>0</v>
      </c>
      <c r="E126" s="2">
        <v>0</v>
      </c>
      <c r="G126" s="2">
        <v>0</v>
      </c>
      <c r="I126" s="2">
        <v>0</v>
      </c>
      <c r="K126" s="2">
        <v>0</v>
      </c>
      <c r="L126" s="9"/>
      <c r="M126" s="2">
        <v>0</v>
      </c>
      <c r="N126" s="9"/>
      <c r="O126" s="2">
        <v>0</v>
      </c>
      <c r="P126" s="9"/>
      <c r="Q126" s="2">
        <f t="shared" si="5"/>
        <v>0</v>
      </c>
    </row>
    <row r="127" spans="1:22" ht="11.85" customHeight="1" x14ac:dyDescent="0.2">
      <c r="A127" s="3" t="s">
        <v>111</v>
      </c>
      <c r="C127" s="2">
        <v>28326.61</v>
      </c>
      <c r="E127" s="2">
        <v>31283</v>
      </c>
      <c r="G127" s="2">
        <f>25+33682</f>
        <v>33707</v>
      </c>
      <c r="I127" s="2">
        <v>30000</v>
      </c>
      <c r="K127" s="2">
        <v>30000</v>
      </c>
      <c r="L127" s="9"/>
      <c r="M127" s="2">
        <v>30000</v>
      </c>
      <c r="N127" s="9"/>
      <c r="O127" s="2">
        <v>0</v>
      </c>
      <c r="P127" s="9"/>
      <c r="Q127" s="2">
        <f t="shared" si="5"/>
        <v>30000</v>
      </c>
    </row>
    <row r="128" spans="1:22" ht="11.85" customHeight="1" x14ac:dyDescent="0.2">
      <c r="A128" s="3" t="s">
        <v>112</v>
      </c>
      <c r="C128" s="2">
        <v>41335</v>
      </c>
      <c r="E128" s="2">
        <v>38740</v>
      </c>
      <c r="G128" s="2">
        <v>36015</v>
      </c>
      <c r="I128" s="2">
        <v>35000</v>
      </c>
      <c r="K128" s="2">
        <v>35000</v>
      </c>
      <c r="L128" s="9"/>
      <c r="M128" s="2">
        <v>35000</v>
      </c>
      <c r="N128" s="9"/>
      <c r="O128" s="2">
        <v>0</v>
      </c>
      <c r="P128" s="9"/>
      <c r="Q128" s="2">
        <f t="shared" si="5"/>
        <v>35000</v>
      </c>
    </row>
    <row r="129" spans="1:24" ht="11.85" customHeight="1" x14ac:dyDescent="0.2">
      <c r="A129" s="3" t="s">
        <v>113</v>
      </c>
      <c r="C129" s="2">
        <v>368</v>
      </c>
      <c r="E129" s="2">
        <v>148</v>
      </c>
      <c r="G129" s="2">
        <v>0</v>
      </c>
      <c r="I129" s="2">
        <v>300</v>
      </c>
      <c r="K129" s="2">
        <v>300</v>
      </c>
      <c r="L129" s="9"/>
      <c r="M129" s="2">
        <v>0</v>
      </c>
      <c r="N129" s="9"/>
      <c r="O129" s="2">
        <v>0</v>
      </c>
      <c r="P129" s="9"/>
      <c r="Q129" s="2">
        <f t="shared" si="5"/>
        <v>0</v>
      </c>
    </row>
    <row r="130" spans="1:24" ht="11.85" customHeight="1" x14ac:dyDescent="0.2">
      <c r="A130" s="3" t="s">
        <v>114</v>
      </c>
      <c r="C130" s="2">
        <v>10319.120000000001</v>
      </c>
      <c r="E130" s="2">
        <v>9012.5</v>
      </c>
      <c r="G130" s="2">
        <v>9452.16</v>
      </c>
      <c r="I130" s="2">
        <v>8000</v>
      </c>
      <c r="K130" s="2">
        <v>8000</v>
      </c>
      <c r="L130" s="9"/>
      <c r="M130" s="2">
        <v>8500</v>
      </c>
      <c r="N130" s="9"/>
      <c r="O130" s="2">
        <v>0</v>
      </c>
      <c r="P130" s="9"/>
      <c r="Q130" s="2">
        <f t="shared" si="5"/>
        <v>8500</v>
      </c>
    </row>
    <row r="131" spans="1:24" ht="11.85" customHeight="1" x14ac:dyDescent="0.2">
      <c r="A131" s="3" t="s">
        <v>115</v>
      </c>
      <c r="C131" s="2">
        <v>4022.66</v>
      </c>
      <c r="E131" s="2">
        <v>3517.33</v>
      </c>
      <c r="G131" s="2">
        <v>5340.71</v>
      </c>
      <c r="I131" s="2">
        <v>3000</v>
      </c>
      <c r="K131" s="2">
        <v>3000</v>
      </c>
      <c r="L131" s="9"/>
      <c r="M131" s="2">
        <v>3500</v>
      </c>
      <c r="N131" s="9"/>
      <c r="O131" s="2">
        <v>0</v>
      </c>
      <c r="P131" s="9"/>
      <c r="Q131" s="2">
        <f t="shared" si="5"/>
        <v>3500</v>
      </c>
    </row>
    <row r="132" spans="1:24" ht="11.85" customHeight="1" x14ac:dyDescent="0.2">
      <c r="A132" s="3" t="s">
        <v>116</v>
      </c>
      <c r="C132" s="12">
        <v>8.7799999999999994</v>
      </c>
      <c r="E132" s="12">
        <v>6.5</v>
      </c>
      <c r="G132" s="12">
        <v>36.75</v>
      </c>
      <c r="I132" s="12">
        <v>0</v>
      </c>
      <c r="K132" s="12">
        <v>0</v>
      </c>
      <c r="L132" s="9"/>
      <c r="M132" s="12">
        <v>0</v>
      </c>
      <c r="N132" s="9"/>
      <c r="O132" s="12">
        <v>0</v>
      </c>
      <c r="P132" s="9"/>
      <c r="Q132" s="12">
        <f>M132+O132</f>
        <v>0</v>
      </c>
    </row>
    <row r="133" spans="1:24" ht="11.85" hidden="1" customHeight="1" x14ac:dyDescent="0.2">
      <c r="A133" s="3" t="s">
        <v>117</v>
      </c>
      <c r="C133" s="2">
        <v>0</v>
      </c>
      <c r="E133" s="2">
        <v>0</v>
      </c>
      <c r="G133" s="2">
        <v>0</v>
      </c>
      <c r="I133" s="2">
        <v>0</v>
      </c>
      <c r="K133" s="2">
        <v>0</v>
      </c>
      <c r="L133" s="9"/>
      <c r="M133" s="2">
        <v>0</v>
      </c>
      <c r="N133" s="9"/>
      <c r="O133" s="2">
        <v>0</v>
      </c>
      <c r="P133" s="9"/>
      <c r="Q133" s="2">
        <f>M133+O133</f>
        <v>0</v>
      </c>
    </row>
    <row r="134" spans="1:24" ht="11.85" hidden="1" customHeight="1" x14ac:dyDescent="0.2">
      <c r="A134" s="3" t="s">
        <v>118</v>
      </c>
      <c r="C134" s="12">
        <v>0</v>
      </c>
      <c r="E134" s="12">
        <v>0</v>
      </c>
      <c r="G134" s="12">
        <v>0</v>
      </c>
      <c r="I134" s="12">
        <v>0</v>
      </c>
      <c r="K134" s="12">
        <v>0</v>
      </c>
      <c r="L134" s="9"/>
      <c r="M134" s="12">
        <v>0</v>
      </c>
      <c r="N134" s="9"/>
      <c r="O134" s="12">
        <v>0</v>
      </c>
      <c r="P134" s="9"/>
      <c r="Q134" s="12">
        <f t="shared" si="5"/>
        <v>0</v>
      </c>
    </row>
    <row r="135" spans="1:24" ht="11.85" customHeight="1" x14ac:dyDescent="0.2">
      <c r="A135" s="3" t="s">
        <v>119</v>
      </c>
      <c r="C135" s="2">
        <f>SUM(C123:C134)</f>
        <v>129855.70999999999</v>
      </c>
      <c r="E135" s="2">
        <f>SUM(E123:E134)</f>
        <v>128579.47</v>
      </c>
      <c r="G135" s="2">
        <f>SUM(G123:G134)</f>
        <v>131944.57</v>
      </c>
      <c r="I135" s="2">
        <f>SUM(I123:I134)</f>
        <v>117800</v>
      </c>
      <c r="K135" s="2">
        <f>SUM(K123:K134)</f>
        <v>117800</v>
      </c>
      <c r="L135" s="9"/>
      <c r="M135" s="2">
        <f>SUM(M123:M134)</f>
        <v>118500</v>
      </c>
      <c r="N135" s="9"/>
      <c r="O135" s="2">
        <f>SUM(O123:O134)</f>
        <v>0</v>
      </c>
      <c r="P135" s="9"/>
      <c r="Q135" s="2">
        <f>SUM(Q123:Q134)</f>
        <v>118500</v>
      </c>
      <c r="T135" s="14"/>
      <c r="X135" s="9"/>
    </row>
    <row r="136" spans="1:24" ht="11.85" customHeight="1" x14ac:dyDescent="0.2">
      <c r="L136" s="9"/>
      <c r="N136" s="9"/>
      <c r="P136" s="9"/>
    </row>
    <row r="137" spans="1:24" ht="11.85" customHeight="1" x14ac:dyDescent="0.2">
      <c r="L137" s="9"/>
      <c r="N137" s="9"/>
      <c r="P137" s="9"/>
    </row>
    <row r="138" spans="1:24" ht="11.85" customHeight="1" x14ac:dyDescent="0.2">
      <c r="L138" s="9"/>
      <c r="N138" s="9"/>
      <c r="P138" s="9"/>
    </row>
    <row r="139" spans="1:24" ht="11.85" customHeight="1" x14ac:dyDescent="0.2">
      <c r="L139" s="9"/>
      <c r="N139" s="9"/>
      <c r="P139" s="9"/>
    </row>
    <row r="140" spans="1:24" ht="11.85" customHeight="1" x14ac:dyDescent="0.2">
      <c r="L140" s="9"/>
      <c r="N140" s="9"/>
      <c r="P140" s="9"/>
    </row>
    <row r="141" spans="1:24" ht="11.85" customHeight="1" x14ac:dyDescent="0.2">
      <c r="L141" s="9"/>
      <c r="N141" s="9"/>
      <c r="P141" s="9"/>
    </row>
    <row r="142" spans="1:24" ht="11.85" customHeight="1" x14ac:dyDescent="0.2">
      <c r="L142" s="9"/>
      <c r="N142" s="9"/>
      <c r="P142" s="9"/>
    </row>
    <row r="143" spans="1:24" ht="11.85" customHeight="1" x14ac:dyDescent="0.2">
      <c r="L143" s="9"/>
      <c r="N143" s="9"/>
      <c r="P143" s="9"/>
    </row>
    <row r="144" spans="1:24" ht="11.85" customHeight="1" x14ac:dyDescent="0.2">
      <c r="L144" s="9"/>
      <c r="N144" s="9"/>
      <c r="P144" s="9"/>
    </row>
    <row r="145" spans="1:17" ht="12" customHeight="1" x14ac:dyDescent="0.2">
      <c r="L145" s="9"/>
      <c r="N145" s="9"/>
      <c r="P145" s="9"/>
    </row>
    <row r="146" spans="1:17" ht="11.85" customHeight="1" x14ac:dyDescent="0.2">
      <c r="A146" s="1"/>
      <c r="B146" s="1"/>
      <c r="E146" s="2" t="str">
        <f>$E$1</f>
        <v>CITY OF BRADY</v>
      </c>
    </row>
    <row r="147" spans="1:17" ht="11.85" customHeight="1" x14ac:dyDescent="0.2">
      <c r="E147" s="2" t="str">
        <f>$E$2</f>
        <v>BUDGET REPORT</v>
      </c>
    </row>
    <row r="148" spans="1:17" ht="11.85" customHeight="1" x14ac:dyDescent="0.2">
      <c r="E148" s="2" t="str">
        <f>$E$3</f>
        <v>FISCAL YEAR 2024 - 2025</v>
      </c>
    </row>
    <row r="149" spans="1:17" ht="11.85" customHeight="1" x14ac:dyDescent="0.2">
      <c r="A149" s="3" t="s">
        <v>3</v>
      </c>
    </row>
    <row r="150" spans="1:17" ht="11.85" customHeight="1" x14ac:dyDescent="0.2"/>
    <row r="151" spans="1:17" ht="11.85" customHeight="1" x14ac:dyDescent="0.2">
      <c r="I151" s="53" t="str">
        <f>+I80</f>
        <v>(----- 2023-2024------)</v>
      </c>
      <c r="J151" s="53"/>
      <c r="K151" s="53"/>
      <c r="L151" s="6"/>
      <c r="M151" s="54" t="str">
        <f>$M$6</f>
        <v>2024-2025</v>
      </c>
      <c r="N151" s="54"/>
      <c r="O151" s="54"/>
      <c r="P151" s="54"/>
      <c r="Q151" s="54"/>
    </row>
    <row r="152" spans="1:17" ht="11.85" customHeight="1" x14ac:dyDescent="0.2">
      <c r="C152" s="5" t="str">
        <f>$C$7</f>
        <v>2020-2021</v>
      </c>
      <c r="D152" s="5"/>
      <c r="E152" s="5" t="str">
        <f>$E$7</f>
        <v>2021-2022</v>
      </c>
      <c r="F152" s="5"/>
      <c r="G152" s="5" t="str">
        <f>$G$7</f>
        <v>2022-2023</v>
      </c>
      <c r="H152" s="5"/>
      <c r="I152" s="5" t="s">
        <v>9</v>
      </c>
      <c r="J152" s="5"/>
      <c r="K152" s="5" t="str">
        <f>+$K$7</f>
        <v>PROJECTED</v>
      </c>
      <c r="L152" s="6"/>
      <c r="M152" s="5">
        <f>$M$7</f>
        <v>0</v>
      </c>
      <c r="N152" s="6"/>
      <c r="O152" s="5" t="str">
        <f>$O$7</f>
        <v>2024-2025</v>
      </c>
      <c r="P152" s="6"/>
      <c r="Q152" s="5" t="str">
        <f>$Q$7</f>
        <v>APPROVED</v>
      </c>
    </row>
    <row r="153" spans="1:17" ht="11.85" customHeight="1" x14ac:dyDescent="0.2">
      <c r="A153" s="7"/>
      <c r="C153" s="8" t="s">
        <v>12</v>
      </c>
      <c r="D153" s="5"/>
      <c r="E153" s="8" t="s">
        <v>12</v>
      </c>
      <c r="F153" s="5"/>
      <c r="G153" s="8" t="s">
        <v>12</v>
      </c>
      <c r="H153" s="5"/>
      <c r="I153" s="8" t="s">
        <v>13</v>
      </c>
      <c r="J153" s="5"/>
      <c r="K153" s="8" t="s">
        <v>13</v>
      </c>
      <c r="L153" s="6"/>
      <c r="M153" s="8" t="str">
        <f>$M$8</f>
        <v>BASE</v>
      </c>
      <c r="N153" s="6"/>
      <c r="O153" s="8" t="str">
        <f>$O$8</f>
        <v>SUPPLEMENTAL</v>
      </c>
      <c r="P153" s="6"/>
      <c r="Q153" s="8" t="str">
        <f>$Q$8</f>
        <v>BUDGET</v>
      </c>
    </row>
    <row r="154" spans="1:17" ht="11.85" customHeight="1" x14ac:dyDescent="0.2">
      <c r="L154" s="9"/>
      <c r="N154" s="9"/>
      <c r="P154" s="9"/>
    </row>
    <row r="155" spans="1:17" ht="11.85" customHeight="1" x14ac:dyDescent="0.2">
      <c r="A155" s="10" t="s">
        <v>120</v>
      </c>
      <c r="L155" s="9"/>
      <c r="N155" s="9"/>
      <c r="P155" s="9"/>
    </row>
    <row r="156" spans="1:17" ht="11.85" hidden="1" customHeight="1" x14ac:dyDescent="0.2">
      <c r="A156" s="3" t="s">
        <v>121</v>
      </c>
      <c r="C156" s="2">
        <v>0</v>
      </c>
      <c r="E156" s="2">
        <v>0</v>
      </c>
      <c r="G156" s="2">
        <v>0</v>
      </c>
      <c r="I156" s="2">
        <v>0</v>
      </c>
      <c r="K156" s="2">
        <v>0</v>
      </c>
      <c r="L156" s="9"/>
      <c r="M156" s="2">
        <v>0</v>
      </c>
      <c r="N156" s="9"/>
      <c r="O156" s="2">
        <v>0</v>
      </c>
      <c r="P156" s="9"/>
      <c r="Q156" s="2">
        <f t="shared" ref="Q156:Q179" si="6">M156+O156</f>
        <v>0</v>
      </c>
    </row>
    <row r="157" spans="1:17" ht="11.85" customHeight="1" x14ac:dyDescent="0.2">
      <c r="A157" s="3" t="s">
        <v>122</v>
      </c>
      <c r="C157" s="2">
        <f>3940+1350+29280+20415+52015+56690+2240+4564</f>
        <v>170494</v>
      </c>
      <c r="E157" s="2">
        <f>8510+950+30100+14095+46395+75045+1470+4727.5</f>
        <v>181292.5</v>
      </c>
      <c r="G157" s="2">
        <v>187635</v>
      </c>
      <c r="I157" s="2">
        <v>170000</v>
      </c>
      <c r="K157" s="2">
        <v>170000</v>
      </c>
      <c r="L157" s="9"/>
      <c r="M157" s="2">
        <v>175000</v>
      </c>
      <c r="N157" s="9"/>
      <c r="O157" s="2">
        <v>0</v>
      </c>
      <c r="P157" s="9"/>
      <c r="Q157" s="2">
        <f t="shared" si="6"/>
        <v>175000</v>
      </c>
    </row>
    <row r="158" spans="1:17" ht="11.85" hidden="1" customHeight="1" x14ac:dyDescent="0.2">
      <c r="A158" s="3" t="s">
        <v>123</v>
      </c>
      <c r="C158" s="2">
        <v>0</v>
      </c>
      <c r="E158" s="2">
        <v>0</v>
      </c>
      <c r="G158" s="2">
        <v>0</v>
      </c>
      <c r="I158" s="2">
        <v>0</v>
      </c>
      <c r="K158" s="2">
        <v>0</v>
      </c>
      <c r="L158" s="9"/>
      <c r="M158" s="2">
        <v>0</v>
      </c>
      <c r="N158" s="9"/>
      <c r="O158" s="2">
        <v>0</v>
      </c>
      <c r="P158" s="9"/>
      <c r="Q158" s="2">
        <f t="shared" si="6"/>
        <v>0</v>
      </c>
    </row>
    <row r="159" spans="1:17" ht="11.85" hidden="1" customHeight="1" x14ac:dyDescent="0.2">
      <c r="A159" s="3" t="s">
        <v>124</v>
      </c>
      <c r="C159" s="2">
        <v>0</v>
      </c>
      <c r="E159" s="2">
        <v>0</v>
      </c>
      <c r="G159" s="2">
        <v>0</v>
      </c>
      <c r="I159" s="2">
        <v>0</v>
      </c>
      <c r="K159" s="2">
        <v>0</v>
      </c>
      <c r="L159" s="9"/>
      <c r="M159" s="2">
        <v>0</v>
      </c>
      <c r="N159" s="9"/>
      <c r="O159" s="2">
        <v>0</v>
      </c>
      <c r="P159" s="9"/>
      <c r="Q159" s="2">
        <f t="shared" si="6"/>
        <v>0</v>
      </c>
    </row>
    <row r="160" spans="1:17" ht="11.85" hidden="1" customHeight="1" x14ac:dyDescent="0.2">
      <c r="A160" s="3" t="s">
        <v>125</v>
      </c>
      <c r="C160" s="2">
        <v>0</v>
      </c>
      <c r="E160" s="2">
        <v>0</v>
      </c>
      <c r="G160" s="2">
        <v>0</v>
      </c>
      <c r="I160" s="2">
        <v>0</v>
      </c>
      <c r="K160" s="2">
        <v>0</v>
      </c>
      <c r="L160" s="9"/>
      <c r="M160" s="2">
        <v>0</v>
      </c>
      <c r="N160" s="9"/>
      <c r="O160" s="2">
        <v>0</v>
      </c>
      <c r="P160" s="9"/>
      <c r="Q160" s="2">
        <f t="shared" si="6"/>
        <v>0</v>
      </c>
    </row>
    <row r="161" spans="1:17" ht="11.85" hidden="1" customHeight="1" x14ac:dyDescent="0.2">
      <c r="A161" s="3" t="s">
        <v>126</v>
      </c>
      <c r="C161" s="2">
        <v>0</v>
      </c>
      <c r="E161" s="2">
        <v>0</v>
      </c>
      <c r="G161" s="2">
        <v>0</v>
      </c>
      <c r="I161" s="2">
        <v>0</v>
      </c>
      <c r="K161" s="2">
        <v>0</v>
      </c>
      <c r="L161" s="9"/>
      <c r="M161" s="2">
        <v>0</v>
      </c>
      <c r="N161" s="9"/>
      <c r="O161" s="2">
        <v>0</v>
      </c>
      <c r="P161" s="9"/>
      <c r="Q161" s="2">
        <f t="shared" si="6"/>
        <v>0</v>
      </c>
    </row>
    <row r="162" spans="1:17" ht="11.85" hidden="1" customHeight="1" x14ac:dyDescent="0.2">
      <c r="A162" s="3" t="s">
        <v>127</v>
      </c>
      <c r="C162" s="2">
        <v>0</v>
      </c>
      <c r="E162" s="2">
        <v>0</v>
      </c>
      <c r="G162" s="2">
        <v>0</v>
      </c>
      <c r="I162" s="2">
        <v>0</v>
      </c>
      <c r="K162" s="2">
        <v>0</v>
      </c>
      <c r="L162" s="9"/>
      <c r="M162" s="2">
        <v>0</v>
      </c>
      <c r="N162" s="9"/>
      <c r="O162" s="2">
        <v>0</v>
      </c>
      <c r="P162" s="9"/>
      <c r="Q162" s="2">
        <f t="shared" si="6"/>
        <v>0</v>
      </c>
    </row>
    <row r="163" spans="1:17" ht="11.85" hidden="1" customHeight="1" x14ac:dyDescent="0.2">
      <c r="A163" s="3" t="s">
        <v>128</v>
      </c>
      <c r="C163" s="2">
        <v>0</v>
      </c>
      <c r="E163" s="2">
        <v>0</v>
      </c>
      <c r="G163" s="2">
        <v>0</v>
      </c>
      <c r="I163" s="2">
        <v>0</v>
      </c>
      <c r="K163" s="2">
        <v>0</v>
      </c>
      <c r="L163" s="9"/>
      <c r="M163" s="2">
        <v>0</v>
      </c>
      <c r="N163" s="9"/>
      <c r="O163" s="2">
        <v>0</v>
      </c>
      <c r="P163" s="9"/>
      <c r="Q163" s="2">
        <f t="shared" si="6"/>
        <v>0</v>
      </c>
    </row>
    <row r="164" spans="1:17" ht="11.85" customHeight="1" x14ac:dyDescent="0.2">
      <c r="A164" s="3" t="s">
        <v>129</v>
      </c>
      <c r="C164" s="2">
        <v>660</v>
      </c>
      <c r="E164" s="2">
        <v>230</v>
      </c>
      <c r="G164" s="2">
        <v>530</v>
      </c>
      <c r="I164" s="2">
        <v>200</v>
      </c>
      <c r="K164" s="2">
        <v>200</v>
      </c>
      <c r="L164" s="9"/>
      <c r="M164" s="2">
        <v>300</v>
      </c>
      <c r="N164" s="9"/>
      <c r="O164" s="2">
        <v>0</v>
      </c>
      <c r="P164" s="9"/>
      <c r="Q164" s="2">
        <f t="shared" si="6"/>
        <v>300</v>
      </c>
    </row>
    <row r="165" spans="1:17" ht="11.85" customHeight="1" x14ac:dyDescent="0.2">
      <c r="A165" s="3" t="s">
        <v>130</v>
      </c>
      <c r="C165" s="2">
        <v>22734.33</v>
      </c>
      <c r="E165" s="2">
        <v>22112.35</v>
      </c>
      <c r="G165" s="2">
        <v>23333.68</v>
      </c>
      <c r="I165" s="2">
        <v>20000</v>
      </c>
      <c r="K165" s="2">
        <v>20000</v>
      </c>
      <c r="L165" s="9"/>
      <c r="M165" s="2">
        <v>20000</v>
      </c>
      <c r="N165" s="9"/>
      <c r="O165" s="2">
        <v>0</v>
      </c>
      <c r="P165" s="9"/>
      <c r="Q165" s="2">
        <f t="shared" si="6"/>
        <v>20000</v>
      </c>
    </row>
    <row r="166" spans="1:17" ht="11.85" customHeight="1" x14ac:dyDescent="0.2">
      <c r="A166" s="3" t="s">
        <v>131</v>
      </c>
      <c r="C166" s="2">
        <v>27026.48</v>
      </c>
      <c r="E166" s="2">
        <v>20871.09</v>
      </c>
      <c r="G166" s="2">
        <v>22919</v>
      </c>
      <c r="I166" s="2">
        <v>22000</v>
      </c>
      <c r="K166" s="2">
        <v>22000</v>
      </c>
      <c r="L166" s="9"/>
      <c r="M166" s="2">
        <v>22000</v>
      </c>
      <c r="N166" s="9"/>
      <c r="O166" s="2">
        <v>0</v>
      </c>
      <c r="P166" s="9"/>
      <c r="Q166" s="2">
        <f t="shared" si="6"/>
        <v>22000</v>
      </c>
    </row>
    <row r="167" spans="1:17" ht="11.85" hidden="1" customHeight="1" x14ac:dyDescent="0.2">
      <c r="A167" s="3" t="s">
        <v>132</v>
      </c>
      <c r="C167" s="2">
        <v>0</v>
      </c>
      <c r="E167" s="2">
        <v>0</v>
      </c>
      <c r="G167" s="2">
        <v>0</v>
      </c>
      <c r="I167" s="2">
        <v>0</v>
      </c>
      <c r="K167" s="2">
        <v>0</v>
      </c>
      <c r="L167" s="9"/>
      <c r="M167" s="2">
        <v>0</v>
      </c>
      <c r="N167" s="9"/>
      <c r="O167" s="2">
        <v>0</v>
      </c>
      <c r="P167" s="9"/>
      <c r="Q167" s="2">
        <f t="shared" si="6"/>
        <v>0</v>
      </c>
    </row>
    <row r="168" spans="1:17" ht="11.85" customHeight="1" x14ac:dyDescent="0.2">
      <c r="A168" s="3" t="s">
        <v>133</v>
      </c>
      <c r="C168" s="2">
        <v>1000</v>
      </c>
      <c r="E168" s="2">
        <v>1050</v>
      </c>
      <c r="G168" s="2">
        <v>1075</v>
      </c>
      <c r="I168" s="2">
        <v>1000</v>
      </c>
      <c r="K168" s="2">
        <v>1000</v>
      </c>
      <c r="L168" s="9"/>
      <c r="M168" s="2">
        <v>1000</v>
      </c>
      <c r="N168" s="9"/>
      <c r="O168" s="2">
        <v>0</v>
      </c>
      <c r="P168" s="9"/>
      <c r="Q168" s="2">
        <f t="shared" si="6"/>
        <v>1000</v>
      </c>
    </row>
    <row r="169" spans="1:17" ht="11.85" customHeight="1" x14ac:dyDescent="0.2">
      <c r="A169" s="3" t="s">
        <v>134</v>
      </c>
      <c r="C169" s="2">
        <v>2</v>
      </c>
      <c r="E169" s="2">
        <v>0</v>
      </c>
      <c r="G169" s="2">
        <v>0</v>
      </c>
      <c r="I169" s="2">
        <v>0</v>
      </c>
      <c r="K169" s="2">
        <v>0</v>
      </c>
      <c r="L169" s="9"/>
      <c r="M169" s="2">
        <v>0</v>
      </c>
      <c r="N169" s="9"/>
      <c r="O169" s="2">
        <v>0</v>
      </c>
      <c r="P169" s="9"/>
      <c r="Q169" s="2">
        <f t="shared" si="6"/>
        <v>0</v>
      </c>
    </row>
    <row r="170" spans="1:17" ht="11.85" customHeight="1" x14ac:dyDescent="0.2">
      <c r="A170" s="3" t="s">
        <v>135</v>
      </c>
      <c r="C170" s="2">
        <v>63</v>
      </c>
      <c r="E170" s="2">
        <v>0</v>
      </c>
      <c r="G170" s="2">
        <v>0</v>
      </c>
      <c r="I170" s="2">
        <v>0</v>
      </c>
      <c r="K170" s="2">
        <v>0</v>
      </c>
      <c r="L170" s="9"/>
      <c r="M170" s="2">
        <v>0</v>
      </c>
      <c r="N170" s="9"/>
      <c r="O170" s="2">
        <v>0</v>
      </c>
      <c r="P170" s="9"/>
      <c r="Q170" s="2">
        <f t="shared" si="6"/>
        <v>0</v>
      </c>
    </row>
    <row r="171" spans="1:17" ht="11.85" hidden="1" customHeight="1" x14ac:dyDescent="0.2">
      <c r="A171" s="3" t="s">
        <v>136</v>
      </c>
      <c r="C171" s="2">
        <v>0</v>
      </c>
      <c r="E171" s="2">
        <v>0</v>
      </c>
      <c r="G171" s="2">
        <v>0</v>
      </c>
      <c r="I171" s="2">
        <v>0</v>
      </c>
      <c r="K171" s="2">
        <v>0</v>
      </c>
      <c r="L171" s="9"/>
      <c r="M171" s="2">
        <v>0</v>
      </c>
      <c r="N171" s="9"/>
      <c r="O171" s="2">
        <v>0</v>
      </c>
      <c r="P171" s="9"/>
      <c r="Q171" s="2">
        <f t="shared" si="6"/>
        <v>0</v>
      </c>
    </row>
    <row r="172" spans="1:17" ht="11.85" customHeight="1" x14ac:dyDescent="0.2">
      <c r="A172" s="3" t="s">
        <v>137</v>
      </c>
      <c r="C172" s="2">
        <v>1800</v>
      </c>
      <c r="E172" s="2">
        <v>1800</v>
      </c>
      <c r="G172" s="2">
        <v>1800</v>
      </c>
      <c r="I172" s="2">
        <v>0</v>
      </c>
      <c r="K172" s="2">
        <v>0</v>
      </c>
      <c r="L172" s="9"/>
      <c r="M172" s="2">
        <v>0</v>
      </c>
      <c r="N172" s="9"/>
      <c r="O172" s="2">
        <v>0</v>
      </c>
      <c r="P172" s="9"/>
      <c r="Q172" s="2">
        <f t="shared" si="6"/>
        <v>0</v>
      </c>
    </row>
    <row r="173" spans="1:17" ht="11.85" customHeight="1" x14ac:dyDescent="0.2">
      <c r="A173" s="3" t="s">
        <v>138</v>
      </c>
      <c r="C173" s="12">
        <v>23475</v>
      </c>
      <c r="E173" s="12">
        <v>4700</v>
      </c>
      <c r="G173" s="12">
        <v>2725</v>
      </c>
      <c r="I173" s="12">
        <v>0</v>
      </c>
      <c r="K173" s="12">
        <v>0</v>
      </c>
      <c r="L173" s="9"/>
      <c r="M173" s="12">
        <v>0</v>
      </c>
      <c r="N173" s="9"/>
      <c r="O173" s="12">
        <v>0</v>
      </c>
      <c r="P173" s="9"/>
      <c r="Q173" s="12">
        <f>M173+O173</f>
        <v>0</v>
      </c>
    </row>
    <row r="174" spans="1:17" ht="11.85" hidden="1" customHeight="1" x14ac:dyDescent="0.2">
      <c r="A174" s="3" t="s">
        <v>139</v>
      </c>
      <c r="C174" s="12">
        <v>0</v>
      </c>
      <c r="E174" s="12">
        <v>0</v>
      </c>
      <c r="G174" s="12">
        <v>0</v>
      </c>
      <c r="I174" s="12"/>
      <c r="K174" s="12">
        <v>0</v>
      </c>
      <c r="L174" s="9"/>
      <c r="M174" s="12">
        <v>0</v>
      </c>
      <c r="N174" s="9"/>
      <c r="O174" s="12">
        <v>0</v>
      </c>
      <c r="P174" s="9"/>
      <c r="Q174" s="12">
        <f>M174+O174</f>
        <v>0</v>
      </c>
    </row>
    <row r="175" spans="1:17" ht="11.85" hidden="1" customHeight="1" x14ac:dyDescent="0.2">
      <c r="L175" s="9"/>
      <c r="N175" s="9"/>
      <c r="P175" s="9"/>
    </row>
    <row r="176" spans="1:17" ht="11.85" hidden="1" customHeight="1" x14ac:dyDescent="0.2">
      <c r="L176" s="9"/>
      <c r="N176" s="9"/>
      <c r="P176" s="9"/>
    </row>
    <row r="177" spans="1:23" ht="11.85" hidden="1" customHeight="1" x14ac:dyDescent="0.2">
      <c r="C177" s="12"/>
      <c r="E177" s="12"/>
      <c r="G177" s="12"/>
      <c r="I177" s="12">
        <v>0</v>
      </c>
      <c r="K177" s="12">
        <v>0</v>
      </c>
      <c r="L177" s="9"/>
      <c r="M177" s="12">
        <v>0</v>
      </c>
      <c r="N177" s="9"/>
      <c r="O177" s="12">
        <v>0</v>
      </c>
      <c r="P177" s="9"/>
      <c r="Q177" s="12">
        <f t="shared" si="6"/>
        <v>0</v>
      </c>
    </row>
    <row r="178" spans="1:23" ht="11.85" hidden="1" customHeight="1" x14ac:dyDescent="0.2">
      <c r="A178" s="3" t="s">
        <v>140</v>
      </c>
      <c r="C178" s="2">
        <v>0</v>
      </c>
      <c r="E178" s="2">
        <v>0</v>
      </c>
      <c r="G178" s="2">
        <v>0</v>
      </c>
      <c r="I178" s="2">
        <v>0</v>
      </c>
      <c r="K178" s="2">
        <v>0</v>
      </c>
      <c r="L178" s="9"/>
      <c r="M178" s="2">
        <v>0</v>
      </c>
      <c r="N178" s="9"/>
      <c r="O178" s="2">
        <v>0</v>
      </c>
      <c r="P178" s="9"/>
      <c r="Q178" s="2">
        <f t="shared" si="6"/>
        <v>0</v>
      </c>
    </row>
    <row r="179" spans="1:23" ht="11.85" hidden="1" customHeight="1" x14ac:dyDescent="0.2">
      <c r="A179" s="3" t="s">
        <v>141</v>
      </c>
      <c r="C179" s="12">
        <v>0</v>
      </c>
      <c r="E179" s="12">
        <v>0</v>
      </c>
      <c r="G179" s="12">
        <v>0</v>
      </c>
      <c r="I179" s="12">
        <v>0</v>
      </c>
      <c r="K179" s="12">
        <v>0</v>
      </c>
      <c r="L179" s="9"/>
      <c r="M179" s="12">
        <v>0</v>
      </c>
      <c r="N179" s="9"/>
      <c r="O179" s="12">
        <v>0</v>
      </c>
      <c r="P179" s="9"/>
      <c r="Q179" s="12">
        <f t="shared" si="6"/>
        <v>0</v>
      </c>
    </row>
    <row r="180" spans="1:23" ht="11.85" customHeight="1" x14ac:dyDescent="0.2">
      <c r="A180" s="3" t="s">
        <v>142</v>
      </c>
      <c r="C180" s="2">
        <f>SUM(C156:C179)</f>
        <v>247254.81000000003</v>
      </c>
      <c r="E180" s="2">
        <f>SUM(E156:E179)</f>
        <v>232055.94</v>
      </c>
      <c r="G180" s="2">
        <f>SUM(G156:G179)</f>
        <v>240017.68</v>
      </c>
      <c r="I180" s="2">
        <f>SUM(I156:I179)</f>
        <v>213200</v>
      </c>
      <c r="K180" s="2">
        <f>SUM(K156:K179)</f>
        <v>213200</v>
      </c>
      <c r="M180" s="2">
        <f>SUM(M156:M179)</f>
        <v>218300</v>
      </c>
      <c r="O180" s="2">
        <f>SUM(O156:O179)</f>
        <v>0</v>
      </c>
      <c r="Q180" s="2">
        <f>SUM(Q156:Q179)</f>
        <v>218300</v>
      </c>
      <c r="T180" s="14"/>
    </row>
    <row r="181" spans="1:23" ht="11.85" customHeight="1" x14ac:dyDescent="0.2">
      <c r="L181" s="9"/>
      <c r="N181" s="9"/>
      <c r="P181" s="9"/>
    </row>
    <row r="182" spans="1:23" ht="11.85" customHeight="1" x14ac:dyDescent="0.2">
      <c r="A182" s="10" t="s">
        <v>143</v>
      </c>
      <c r="L182" s="9"/>
      <c r="N182" s="9"/>
      <c r="P182" s="9"/>
    </row>
    <row r="183" spans="1:23" ht="11.85" customHeight="1" x14ac:dyDescent="0.2">
      <c r="A183" s="3" t="s">
        <v>144</v>
      </c>
      <c r="C183" s="2">
        <v>1000</v>
      </c>
      <c r="E183" s="2">
        <v>0</v>
      </c>
      <c r="G183" s="2">
        <v>0</v>
      </c>
      <c r="I183" s="2">
        <v>0</v>
      </c>
      <c r="K183" s="2">
        <v>0</v>
      </c>
      <c r="L183" s="9"/>
      <c r="M183" s="2">
        <v>0</v>
      </c>
      <c r="N183" s="9"/>
      <c r="O183" s="2">
        <v>0</v>
      </c>
      <c r="P183" s="9"/>
      <c r="Q183" s="2">
        <f t="shared" ref="Q183:Q190" si="7">M183+O183</f>
        <v>0</v>
      </c>
      <c r="U183" s="9"/>
    </row>
    <row r="184" spans="1:23" ht="11.85" customHeight="1" x14ac:dyDescent="0.2">
      <c r="A184" s="3" t="s">
        <v>145</v>
      </c>
      <c r="C184" s="2">
        <v>2700</v>
      </c>
      <c r="E184" s="2">
        <v>16200</v>
      </c>
      <c r="G184" s="2">
        <v>16200</v>
      </c>
      <c r="I184" s="2">
        <v>16200</v>
      </c>
      <c r="K184" s="2">
        <v>16200</v>
      </c>
      <c r="L184" s="9"/>
      <c r="M184" s="2">
        <v>16200</v>
      </c>
      <c r="N184" s="9"/>
      <c r="O184" s="2">
        <v>0</v>
      </c>
      <c r="P184" s="9"/>
      <c r="Q184" s="2">
        <f>M184+O184</f>
        <v>16200</v>
      </c>
      <c r="U184" s="9"/>
    </row>
    <row r="185" spans="1:23" s="19" customFormat="1" ht="11.85" hidden="1" customHeight="1" x14ac:dyDescent="0.2">
      <c r="A185" s="19" t="s">
        <v>99</v>
      </c>
      <c r="C185" s="18">
        <v>0</v>
      </c>
      <c r="D185" s="18"/>
      <c r="E185" s="18">
        <v>0</v>
      </c>
      <c r="F185" s="18"/>
      <c r="G185" s="18">
        <v>0</v>
      </c>
      <c r="H185" s="18"/>
      <c r="I185" s="18">
        <v>0</v>
      </c>
      <c r="J185" s="18"/>
      <c r="K185" s="18">
        <v>0</v>
      </c>
      <c r="L185" s="20"/>
      <c r="M185" s="18">
        <v>0</v>
      </c>
      <c r="N185" s="20"/>
      <c r="O185" s="18">
        <v>0</v>
      </c>
      <c r="P185" s="20"/>
      <c r="Q185" s="18">
        <f>M185+O185</f>
        <v>0</v>
      </c>
      <c r="S185" s="18"/>
      <c r="T185" s="21"/>
      <c r="U185" s="20"/>
    </row>
    <row r="186" spans="1:23" ht="11.85" customHeight="1" x14ac:dyDescent="0.2">
      <c r="A186" s="3" t="s">
        <v>146</v>
      </c>
      <c r="C186" s="2">
        <v>200</v>
      </c>
      <c r="E186" s="2">
        <v>200</v>
      </c>
      <c r="G186" s="2">
        <v>100</v>
      </c>
      <c r="I186" s="2">
        <v>0</v>
      </c>
      <c r="K186" s="2">
        <v>0</v>
      </c>
      <c r="L186" s="9"/>
      <c r="M186" s="2">
        <v>100</v>
      </c>
      <c r="N186" s="9"/>
      <c r="O186" s="2">
        <v>0</v>
      </c>
      <c r="P186" s="9"/>
      <c r="Q186" s="2">
        <f t="shared" si="7"/>
        <v>100</v>
      </c>
      <c r="U186" s="9"/>
    </row>
    <row r="187" spans="1:23" ht="11.85" customHeight="1" x14ac:dyDescent="0.2">
      <c r="A187" s="3" t="s">
        <v>147</v>
      </c>
      <c r="C187" s="2">
        <v>21008</v>
      </c>
      <c r="E187" s="2">
        <v>13439</v>
      </c>
      <c r="G187" s="2">
        <v>21929.87</v>
      </c>
      <c r="I187" s="2">
        <v>20000</v>
      </c>
      <c r="K187" s="2">
        <v>20000</v>
      </c>
      <c r="L187" s="9"/>
      <c r="M187" s="2">
        <v>20000</v>
      </c>
      <c r="N187" s="9"/>
      <c r="O187" s="2">
        <v>0</v>
      </c>
      <c r="P187" s="9"/>
      <c r="Q187" s="2">
        <f t="shared" si="7"/>
        <v>20000</v>
      </c>
      <c r="W187" s="9"/>
    </row>
    <row r="188" spans="1:23" ht="11.85" customHeight="1" x14ac:dyDescent="0.2">
      <c r="A188" s="3" t="s">
        <v>148</v>
      </c>
      <c r="C188" s="2">
        <v>10503</v>
      </c>
      <c r="E188" s="2">
        <v>13475</v>
      </c>
      <c r="G188" s="2">
        <v>13575</v>
      </c>
      <c r="I188" s="2">
        <v>10000</v>
      </c>
      <c r="K188" s="2">
        <v>10000</v>
      </c>
      <c r="L188" s="9"/>
      <c r="M188" s="2">
        <v>10000</v>
      </c>
      <c r="N188" s="9"/>
      <c r="O188" s="2">
        <v>0</v>
      </c>
      <c r="P188" s="9"/>
      <c r="Q188" s="2">
        <f t="shared" si="7"/>
        <v>10000</v>
      </c>
    </row>
    <row r="189" spans="1:23" ht="11.85" customHeight="1" x14ac:dyDescent="0.2">
      <c r="A189" s="3" t="s">
        <v>149</v>
      </c>
      <c r="C189" s="12">
        <v>10525</v>
      </c>
      <c r="E189" s="12">
        <v>12625</v>
      </c>
      <c r="G189" s="12">
        <v>9910</v>
      </c>
      <c r="I189" s="12">
        <v>10000</v>
      </c>
      <c r="K189" s="12">
        <v>10000</v>
      </c>
      <c r="L189" s="9"/>
      <c r="M189" s="12">
        <v>10000</v>
      </c>
      <c r="N189" s="9"/>
      <c r="O189" s="12">
        <v>0</v>
      </c>
      <c r="P189" s="9"/>
      <c r="Q189" s="12">
        <f t="shared" si="7"/>
        <v>10000</v>
      </c>
    </row>
    <row r="190" spans="1:23" ht="11.85" hidden="1" customHeight="1" x14ac:dyDescent="0.2">
      <c r="A190" s="3" t="s">
        <v>150</v>
      </c>
      <c r="C190" s="12">
        <v>0</v>
      </c>
      <c r="E190" s="12">
        <v>0</v>
      </c>
      <c r="G190" s="12">
        <v>0</v>
      </c>
      <c r="I190" s="12">
        <v>0</v>
      </c>
      <c r="K190" s="12">
        <v>0</v>
      </c>
      <c r="L190" s="9"/>
      <c r="M190" s="12">
        <v>0</v>
      </c>
      <c r="N190" s="9"/>
      <c r="O190" s="12">
        <v>0</v>
      </c>
      <c r="P190" s="9"/>
      <c r="Q190" s="12">
        <f t="shared" si="7"/>
        <v>0</v>
      </c>
    </row>
    <row r="191" spans="1:23" ht="11.85" customHeight="1" x14ac:dyDescent="0.2">
      <c r="A191" s="3" t="s">
        <v>151</v>
      </c>
      <c r="C191" s="2">
        <f>SUM(C183:C190)</f>
        <v>45936</v>
      </c>
      <c r="E191" s="2">
        <f>SUM(E183:E190)</f>
        <v>55939</v>
      </c>
      <c r="G191" s="2">
        <f>SUM(G183:G190)</f>
        <v>61714.869999999995</v>
      </c>
      <c r="I191" s="2">
        <f>SUM(I183:I190)</f>
        <v>56200</v>
      </c>
      <c r="K191" s="2">
        <f>SUM(K183:K190)</f>
        <v>56200</v>
      </c>
      <c r="L191" s="9"/>
      <c r="M191" s="2">
        <f>SUM(M183:M190)</f>
        <v>56300</v>
      </c>
      <c r="N191" s="9"/>
      <c r="O191" s="2">
        <f>SUM(O183:O190)</f>
        <v>0</v>
      </c>
      <c r="P191" s="9"/>
      <c r="Q191" s="2">
        <f>SUM(Q183:Q190)</f>
        <v>56300</v>
      </c>
      <c r="T191" s="14"/>
    </row>
    <row r="192" spans="1:23" ht="11.85" customHeight="1" x14ac:dyDescent="0.2">
      <c r="L192" s="9"/>
      <c r="N192" s="9"/>
      <c r="P192" s="9"/>
    </row>
    <row r="193" spans="1:31" ht="11.85" customHeight="1" x14ac:dyDescent="0.2">
      <c r="A193" s="10" t="s">
        <v>152</v>
      </c>
      <c r="L193" s="9"/>
      <c r="N193" s="9"/>
      <c r="P193" s="9"/>
    </row>
    <row r="194" spans="1:31" ht="11.85" customHeight="1" x14ac:dyDescent="0.2">
      <c r="A194" s="3" t="s">
        <v>153</v>
      </c>
      <c r="C194" s="2">
        <v>36810.57</v>
      </c>
      <c r="E194" s="2">
        <v>55952.31</v>
      </c>
      <c r="G194" s="2">
        <v>258768.08</v>
      </c>
      <c r="I194" s="2">
        <v>150000</v>
      </c>
      <c r="K194" s="2">
        <f>150000+125000</f>
        <v>275000</v>
      </c>
      <c r="L194" s="9"/>
      <c r="M194" s="2">
        <v>230000</v>
      </c>
      <c r="N194" s="9"/>
      <c r="O194" s="2">
        <v>0</v>
      </c>
      <c r="P194" s="9"/>
      <c r="Q194" s="2">
        <f t="shared" ref="Q194:Q201" si="8">M194+O194</f>
        <v>230000</v>
      </c>
      <c r="U194" s="9"/>
    </row>
    <row r="195" spans="1:31" ht="11.85" customHeight="1" x14ac:dyDescent="0.2">
      <c r="A195" s="3" t="s">
        <v>154</v>
      </c>
      <c r="C195" s="2">
        <v>310.41000000000003</v>
      </c>
      <c r="E195" s="2">
        <v>479.81</v>
      </c>
      <c r="G195" s="2">
        <v>1774.47</v>
      </c>
      <c r="I195" s="2">
        <v>500</v>
      </c>
      <c r="K195" s="2">
        <v>500</v>
      </c>
      <c r="L195" s="9"/>
      <c r="M195" s="2">
        <v>500</v>
      </c>
      <c r="N195" s="9"/>
      <c r="O195" s="2">
        <v>0</v>
      </c>
      <c r="P195" s="9"/>
      <c r="Q195" s="2">
        <f t="shared" si="8"/>
        <v>500</v>
      </c>
      <c r="V195" s="9"/>
    </row>
    <row r="196" spans="1:31" ht="11.85" hidden="1" customHeight="1" x14ac:dyDescent="0.2">
      <c r="A196" s="3" t="s">
        <v>155</v>
      </c>
      <c r="I196" s="2">
        <v>0</v>
      </c>
      <c r="K196" s="2">
        <v>0</v>
      </c>
      <c r="L196" s="9"/>
      <c r="M196" s="2">
        <v>0</v>
      </c>
      <c r="N196" s="9"/>
      <c r="O196" s="2">
        <v>0</v>
      </c>
      <c r="P196" s="9"/>
      <c r="Q196" s="2">
        <f t="shared" si="8"/>
        <v>0</v>
      </c>
    </row>
    <row r="197" spans="1:31" ht="11.85" customHeight="1" x14ac:dyDescent="0.2">
      <c r="A197" s="3" t="s">
        <v>156</v>
      </c>
      <c r="C197" s="2">
        <v>39.1</v>
      </c>
      <c r="E197" s="2">
        <v>55.19</v>
      </c>
      <c r="G197" s="2">
        <v>0</v>
      </c>
      <c r="I197" s="2">
        <v>0</v>
      </c>
      <c r="K197" s="2">
        <v>0</v>
      </c>
      <c r="L197" s="9"/>
      <c r="M197" s="2">
        <v>0</v>
      </c>
      <c r="N197" s="9"/>
      <c r="O197" s="2">
        <v>0</v>
      </c>
      <c r="P197" s="9"/>
      <c r="Q197" s="2">
        <f t="shared" si="8"/>
        <v>0</v>
      </c>
    </row>
    <row r="198" spans="1:31" ht="11.85" hidden="1" customHeight="1" x14ac:dyDescent="0.2">
      <c r="A198" s="3" t="s">
        <v>157</v>
      </c>
      <c r="C198" s="2">
        <v>0</v>
      </c>
      <c r="E198" s="2">
        <v>0</v>
      </c>
      <c r="G198" s="2">
        <v>0</v>
      </c>
      <c r="I198" s="2">
        <v>0</v>
      </c>
      <c r="K198" s="2">
        <v>0</v>
      </c>
      <c r="L198" s="9"/>
      <c r="M198" s="2">
        <v>0</v>
      </c>
      <c r="N198" s="9"/>
      <c r="O198" s="2">
        <v>0</v>
      </c>
      <c r="P198" s="9"/>
      <c r="Q198" s="2">
        <f t="shared" si="8"/>
        <v>0</v>
      </c>
      <c r="AA198" s="9"/>
    </row>
    <row r="199" spans="1:31" ht="11.85" customHeight="1" x14ac:dyDescent="0.2">
      <c r="A199" s="3" t="s">
        <v>158</v>
      </c>
      <c r="C199" s="12">
        <v>919.08</v>
      </c>
      <c r="E199" s="12">
        <v>1299.6600000000001</v>
      </c>
      <c r="G199" s="12">
        <v>0</v>
      </c>
      <c r="I199" s="12">
        <v>0</v>
      </c>
      <c r="K199" s="12">
        <v>0</v>
      </c>
      <c r="L199" s="9"/>
      <c r="M199" s="12">
        <v>0</v>
      </c>
      <c r="N199" s="9"/>
      <c r="O199" s="12">
        <v>0</v>
      </c>
      <c r="P199" s="9"/>
      <c r="Q199" s="12">
        <f t="shared" si="8"/>
        <v>0</v>
      </c>
      <c r="AE199" s="9"/>
    </row>
    <row r="200" spans="1:31" ht="11.85" hidden="1" customHeight="1" x14ac:dyDescent="0.2">
      <c r="A200" s="3" t="s">
        <v>159</v>
      </c>
      <c r="C200" s="12">
        <v>0</v>
      </c>
      <c r="E200" s="12">
        <v>0</v>
      </c>
      <c r="G200" s="12">
        <v>0</v>
      </c>
      <c r="I200" s="12">
        <v>0</v>
      </c>
      <c r="K200" s="12">
        <v>0</v>
      </c>
      <c r="L200" s="9"/>
      <c r="M200" s="12">
        <v>0</v>
      </c>
      <c r="N200" s="9"/>
      <c r="O200" s="12">
        <v>0</v>
      </c>
      <c r="P200" s="9"/>
      <c r="Q200" s="12">
        <f t="shared" si="8"/>
        <v>0</v>
      </c>
    </row>
    <row r="201" spans="1:31" ht="11.85" hidden="1" customHeight="1" x14ac:dyDescent="0.2">
      <c r="A201" s="3" t="s">
        <v>160</v>
      </c>
      <c r="C201" s="12">
        <v>0</v>
      </c>
      <c r="E201" s="12">
        <v>0</v>
      </c>
      <c r="G201" s="12">
        <v>0</v>
      </c>
      <c r="I201" s="12">
        <v>0</v>
      </c>
      <c r="K201" s="12">
        <v>0</v>
      </c>
      <c r="L201" s="9"/>
      <c r="M201" s="12">
        <v>0</v>
      </c>
      <c r="N201" s="9"/>
      <c r="O201" s="12">
        <v>0</v>
      </c>
      <c r="P201" s="9"/>
      <c r="Q201" s="12">
        <f t="shared" si="8"/>
        <v>0</v>
      </c>
    </row>
    <row r="202" spans="1:31" ht="11.85" customHeight="1" x14ac:dyDescent="0.2">
      <c r="A202" s="3" t="s">
        <v>161</v>
      </c>
      <c r="C202" s="2">
        <f>SUM(C194:C201)</f>
        <v>38079.160000000003</v>
      </c>
      <c r="E202" s="2">
        <f>SUM(E194:E201)</f>
        <v>57786.97</v>
      </c>
      <c r="G202" s="2">
        <f>SUM(G194:G201)</f>
        <v>260542.55</v>
      </c>
      <c r="I202" s="2">
        <f>SUM(I194:I201)</f>
        <v>150500</v>
      </c>
      <c r="K202" s="2">
        <f>SUM(K194:K201)</f>
        <v>275500</v>
      </c>
      <c r="L202" s="9"/>
      <c r="M202" s="2">
        <f>SUM(M194:M201)</f>
        <v>230500</v>
      </c>
      <c r="N202" s="9"/>
      <c r="O202" s="2">
        <f>SUM(O194:O201)</f>
        <v>0</v>
      </c>
      <c r="P202" s="9"/>
      <c r="Q202" s="2">
        <f>SUM(Q194:Q201)</f>
        <v>230500</v>
      </c>
      <c r="T202" s="14"/>
    </row>
    <row r="203" spans="1:31" ht="11.25" customHeight="1" x14ac:dyDescent="0.2"/>
    <row r="204" spans="1:31" ht="11.25" customHeight="1" x14ac:dyDescent="0.2"/>
    <row r="205" spans="1:31" ht="11.25" customHeight="1" x14ac:dyDescent="0.2"/>
    <row r="206" spans="1:31" ht="11.25" customHeight="1" x14ac:dyDescent="0.2"/>
    <row r="207" spans="1:31" ht="11.25" customHeight="1" x14ac:dyDescent="0.2"/>
    <row r="208" spans="1:31" ht="11.25" customHeight="1" x14ac:dyDescent="0.2"/>
    <row r="209" spans="1:17" ht="11.25" customHeight="1" x14ac:dyDescent="0.2"/>
    <row r="210" spans="1:17" ht="11.25" customHeight="1" x14ac:dyDescent="0.2"/>
    <row r="211" spans="1:17" ht="11.25" customHeight="1" x14ac:dyDescent="0.2"/>
    <row r="212" spans="1:17" ht="11.25" customHeight="1" x14ac:dyDescent="0.2"/>
    <row r="213" spans="1:17" ht="11.85" customHeight="1" x14ac:dyDescent="0.2">
      <c r="A213" s="1"/>
      <c r="B213" s="1"/>
      <c r="E213" s="2" t="str">
        <f>$E$1</f>
        <v>CITY OF BRADY</v>
      </c>
    </row>
    <row r="214" spans="1:17" ht="11.85" customHeight="1" x14ac:dyDescent="0.2">
      <c r="E214" s="2" t="str">
        <f>$E$2</f>
        <v>BUDGET REPORT</v>
      </c>
    </row>
    <row r="215" spans="1:17" ht="11.85" customHeight="1" x14ac:dyDescent="0.2">
      <c r="E215" s="2" t="str">
        <f>$E$3</f>
        <v>FISCAL YEAR 2024 - 2025</v>
      </c>
    </row>
    <row r="216" spans="1:17" ht="11.85" customHeight="1" x14ac:dyDescent="0.2">
      <c r="A216" s="3" t="s">
        <v>3</v>
      </c>
    </row>
    <row r="217" spans="1:17" ht="11.85" customHeight="1" x14ac:dyDescent="0.2"/>
    <row r="218" spans="1:17" ht="11.85" customHeight="1" x14ac:dyDescent="0.2">
      <c r="I218" s="53" t="str">
        <f>+I6</f>
        <v>(----- 2023-2024------)</v>
      </c>
      <c r="J218" s="53"/>
      <c r="K218" s="53"/>
      <c r="L218" s="6"/>
      <c r="M218" s="54" t="str">
        <f>$M$6</f>
        <v>2024-2025</v>
      </c>
      <c r="N218" s="54"/>
      <c r="O218" s="54"/>
      <c r="P218" s="54"/>
      <c r="Q218" s="54"/>
    </row>
    <row r="219" spans="1:17" ht="11.85" customHeight="1" x14ac:dyDescent="0.2">
      <c r="C219" s="5" t="str">
        <f>$C$7</f>
        <v>2020-2021</v>
      </c>
      <c r="D219" s="5"/>
      <c r="E219" s="5" t="str">
        <f>$E$7</f>
        <v>2021-2022</v>
      </c>
      <c r="F219" s="5"/>
      <c r="G219" s="5" t="str">
        <f>$G$7</f>
        <v>2022-2023</v>
      </c>
      <c r="H219" s="5"/>
      <c r="I219" s="5" t="s">
        <v>9</v>
      </c>
      <c r="J219" s="5"/>
      <c r="K219" s="5" t="str">
        <f>+$K$7</f>
        <v>PROJECTED</v>
      </c>
      <c r="L219" s="6"/>
      <c r="M219" s="5">
        <f>$M$7</f>
        <v>0</v>
      </c>
      <c r="N219" s="6"/>
      <c r="O219" s="5" t="str">
        <f>$O$7</f>
        <v>2024-2025</v>
      </c>
      <c r="P219" s="6"/>
      <c r="Q219" s="5" t="str">
        <f>$Q$7</f>
        <v>APPROVED</v>
      </c>
    </row>
    <row r="220" spans="1:17" ht="11.85" customHeight="1" x14ac:dyDescent="0.2">
      <c r="A220" s="7"/>
      <c r="C220" s="8" t="s">
        <v>12</v>
      </c>
      <c r="D220" s="5"/>
      <c r="E220" s="8" t="s">
        <v>12</v>
      </c>
      <c r="F220" s="5"/>
      <c r="G220" s="8" t="s">
        <v>12</v>
      </c>
      <c r="H220" s="5"/>
      <c r="I220" s="8" t="s">
        <v>13</v>
      </c>
      <c r="J220" s="5"/>
      <c r="K220" s="8" t="s">
        <v>13</v>
      </c>
      <c r="L220" s="6"/>
      <c r="M220" s="8" t="str">
        <f>$M$8</f>
        <v>BASE</v>
      </c>
      <c r="N220" s="6"/>
      <c r="O220" s="8" t="str">
        <f>$O$8</f>
        <v>SUPPLEMENTAL</v>
      </c>
      <c r="P220" s="6"/>
      <c r="Q220" s="8" t="str">
        <f>$Q$8</f>
        <v>BUDGET</v>
      </c>
    </row>
    <row r="221" spans="1:17" ht="11.85" customHeight="1" x14ac:dyDescent="0.2">
      <c r="L221" s="9"/>
      <c r="N221" s="9"/>
      <c r="P221" s="9"/>
    </row>
    <row r="222" spans="1:17" ht="11.85" customHeight="1" x14ac:dyDescent="0.2">
      <c r="A222" s="10" t="s">
        <v>162</v>
      </c>
      <c r="L222" s="9"/>
      <c r="N222" s="9"/>
      <c r="P222" s="9"/>
    </row>
    <row r="223" spans="1:17" ht="11.85" hidden="1" customHeight="1" x14ac:dyDescent="0.2">
      <c r="A223" s="3" t="s">
        <v>163</v>
      </c>
      <c r="C223" s="2">
        <v>0</v>
      </c>
      <c r="E223" s="2">
        <v>0</v>
      </c>
      <c r="G223" s="2">
        <v>0</v>
      </c>
      <c r="I223" s="2">
        <v>0</v>
      </c>
      <c r="K223" s="2">
        <v>0</v>
      </c>
      <c r="L223" s="9"/>
      <c r="M223" s="2">
        <v>0</v>
      </c>
      <c r="N223" s="9"/>
      <c r="O223" s="2">
        <v>0</v>
      </c>
      <c r="P223" s="9"/>
      <c r="Q223" s="2">
        <f t="shared" ref="Q223:Q230" si="9">M223+O223</f>
        <v>0</v>
      </c>
    </row>
    <row r="224" spans="1:17" ht="11.85" hidden="1" customHeight="1" x14ac:dyDescent="0.2">
      <c r="A224" s="3" t="s">
        <v>164</v>
      </c>
      <c r="C224" s="2">
        <v>0</v>
      </c>
      <c r="E224" s="2">
        <v>0</v>
      </c>
      <c r="G224" s="2">
        <v>0</v>
      </c>
      <c r="I224" s="2">
        <v>0</v>
      </c>
      <c r="K224" s="2">
        <v>0</v>
      </c>
      <c r="L224" s="9"/>
      <c r="M224" s="2">
        <v>0</v>
      </c>
      <c r="N224" s="9"/>
      <c r="O224" s="2">
        <v>0</v>
      </c>
      <c r="P224" s="9"/>
      <c r="Q224" s="2">
        <f t="shared" si="9"/>
        <v>0</v>
      </c>
    </row>
    <row r="225" spans="1:31" ht="11.85" customHeight="1" x14ac:dyDescent="0.2">
      <c r="A225" s="3" t="s">
        <v>165</v>
      </c>
      <c r="C225" s="2">
        <v>20.65</v>
      </c>
      <c r="E225" s="2">
        <v>0</v>
      </c>
      <c r="G225" s="2">
        <v>0</v>
      </c>
      <c r="I225" s="2">
        <v>0</v>
      </c>
      <c r="K225" s="2">
        <v>0</v>
      </c>
      <c r="L225" s="9"/>
      <c r="M225" s="2">
        <v>0</v>
      </c>
      <c r="N225" s="9"/>
      <c r="O225" s="2">
        <v>0</v>
      </c>
      <c r="P225" s="9"/>
      <c r="Q225" s="2">
        <f t="shared" si="9"/>
        <v>0</v>
      </c>
      <c r="AE225" s="9"/>
    </row>
    <row r="226" spans="1:31" ht="11.85" customHeight="1" x14ac:dyDescent="0.2">
      <c r="A226" s="3" t="s">
        <v>166</v>
      </c>
      <c r="C226" s="2">
        <v>2681.4</v>
      </c>
      <c r="E226" s="2">
        <v>2681.4</v>
      </c>
      <c r="G226" s="2">
        <v>2681.4</v>
      </c>
      <c r="I226" s="2">
        <v>2680</v>
      </c>
      <c r="K226" s="2">
        <v>2680</v>
      </c>
      <c r="L226" s="9"/>
      <c r="M226" s="2">
        <v>2680</v>
      </c>
      <c r="N226" s="9"/>
      <c r="O226" s="2">
        <v>0</v>
      </c>
      <c r="P226" s="9"/>
      <c r="Q226" s="2">
        <f t="shared" si="9"/>
        <v>2680</v>
      </c>
      <c r="AE226" s="9"/>
    </row>
    <row r="227" spans="1:31" ht="9" customHeight="1" x14ac:dyDescent="0.2">
      <c r="L227" s="9"/>
      <c r="N227" s="9"/>
      <c r="P227" s="9"/>
    </row>
    <row r="228" spans="1:31" ht="11.85" customHeight="1" x14ac:dyDescent="0.2">
      <c r="A228" s="3" t="s">
        <v>167</v>
      </c>
      <c r="C228" s="9">
        <v>25.52</v>
      </c>
      <c r="D228" s="9"/>
      <c r="E228" s="9">
        <v>660.17</v>
      </c>
      <c r="F228" s="9"/>
      <c r="G228" s="9">
        <v>-140</v>
      </c>
      <c r="H228" s="9"/>
      <c r="I228" s="9">
        <v>0</v>
      </c>
      <c r="J228" s="9"/>
      <c r="K228" s="9">
        <v>0</v>
      </c>
      <c r="L228" s="9"/>
      <c r="M228" s="2">
        <v>0</v>
      </c>
      <c r="N228" s="9"/>
      <c r="O228" s="2">
        <v>0</v>
      </c>
      <c r="P228" s="9"/>
      <c r="Q228" s="2">
        <f t="shared" si="9"/>
        <v>0</v>
      </c>
    </row>
    <row r="229" spans="1:31" ht="11.85" customHeight="1" x14ac:dyDescent="0.2">
      <c r="A229" s="3" t="s">
        <v>168</v>
      </c>
      <c r="C229" s="9">
        <v>0</v>
      </c>
      <c r="D229" s="9"/>
      <c r="E229" s="9">
        <v>0</v>
      </c>
      <c r="F229" s="9"/>
      <c r="G229" s="9">
        <v>0</v>
      </c>
      <c r="H229" s="9"/>
      <c r="I229" s="9">
        <v>0</v>
      </c>
      <c r="J229" s="9"/>
      <c r="K229" s="9">
        <v>0</v>
      </c>
      <c r="L229" s="9"/>
      <c r="M229" s="2">
        <v>0</v>
      </c>
      <c r="N229" s="9"/>
      <c r="O229" s="2">
        <v>0</v>
      </c>
      <c r="P229" s="9"/>
      <c r="Q229" s="2">
        <f t="shared" si="9"/>
        <v>0</v>
      </c>
    </row>
    <row r="230" spans="1:31" ht="11.85" customHeight="1" x14ac:dyDescent="0.2">
      <c r="A230" s="3" t="s">
        <v>169</v>
      </c>
      <c r="C230" s="9">
        <v>0</v>
      </c>
      <c r="D230" s="9"/>
      <c r="E230" s="9">
        <v>0</v>
      </c>
      <c r="F230" s="9"/>
      <c r="G230" s="9">
        <v>0</v>
      </c>
      <c r="H230" s="9"/>
      <c r="I230" s="9">
        <v>0</v>
      </c>
      <c r="J230" s="9"/>
      <c r="K230" s="9">
        <v>0</v>
      </c>
      <c r="L230" s="9"/>
      <c r="M230" s="2">
        <v>0</v>
      </c>
      <c r="N230" s="9"/>
      <c r="O230" s="2">
        <v>0</v>
      </c>
      <c r="P230" s="9"/>
      <c r="Q230" s="2">
        <f t="shared" si="9"/>
        <v>0</v>
      </c>
    </row>
    <row r="231" spans="1:31" ht="9" customHeight="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N231" s="9"/>
      <c r="P231" s="9"/>
    </row>
    <row r="232" spans="1:31" ht="11.85" customHeight="1" x14ac:dyDescent="0.2">
      <c r="A232" s="3" t="s">
        <v>170</v>
      </c>
      <c r="C232" s="9">
        <v>-6.58</v>
      </c>
      <c r="D232" s="9"/>
      <c r="E232" s="9">
        <v>-45</v>
      </c>
      <c r="F232" s="9"/>
      <c r="G232" s="9">
        <v>3.85</v>
      </c>
      <c r="H232" s="9"/>
      <c r="I232" s="9">
        <v>0</v>
      </c>
      <c r="J232" s="9"/>
      <c r="K232" s="9">
        <v>0</v>
      </c>
      <c r="L232" s="9"/>
      <c r="M232" s="2">
        <v>0</v>
      </c>
      <c r="N232" s="9"/>
      <c r="O232" s="2">
        <v>0</v>
      </c>
      <c r="P232" s="9"/>
      <c r="Q232" s="2">
        <f>M232+O232</f>
        <v>0</v>
      </c>
      <c r="X232" s="9"/>
    </row>
    <row r="233" spans="1:31" ht="11.85" customHeight="1" x14ac:dyDescent="0.2">
      <c r="A233" s="3" t="s">
        <v>171</v>
      </c>
      <c r="C233" s="9">
        <v>-31.97</v>
      </c>
      <c r="D233" s="9"/>
      <c r="E233" s="9">
        <v>63.24</v>
      </c>
      <c r="F233" s="9"/>
      <c r="G233" s="9">
        <v>135.4</v>
      </c>
      <c r="H233" s="9"/>
      <c r="I233" s="9">
        <v>0</v>
      </c>
      <c r="J233" s="9"/>
      <c r="K233" s="9">
        <v>0</v>
      </c>
      <c r="L233" s="9"/>
      <c r="M233" s="2">
        <v>0</v>
      </c>
      <c r="N233" s="9"/>
      <c r="O233" s="2">
        <v>0</v>
      </c>
      <c r="P233" s="9"/>
      <c r="Q233" s="2">
        <f>M233+O233</f>
        <v>0</v>
      </c>
      <c r="Y233" s="9"/>
    </row>
    <row r="234" spans="1:31" ht="11.85" customHeight="1" x14ac:dyDescent="0.2">
      <c r="A234" s="3" t="s">
        <v>172</v>
      </c>
      <c r="C234" s="9">
        <v>0</v>
      </c>
      <c r="D234" s="9"/>
      <c r="E234" s="9">
        <v>0</v>
      </c>
      <c r="F234" s="9"/>
      <c r="G234" s="9">
        <v>0</v>
      </c>
      <c r="H234" s="9"/>
      <c r="I234" s="9">
        <v>0</v>
      </c>
      <c r="J234" s="9"/>
      <c r="K234" s="9">
        <v>0</v>
      </c>
      <c r="L234" s="9"/>
      <c r="M234" s="2">
        <v>0</v>
      </c>
      <c r="N234" s="9"/>
      <c r="O234" s="2">
        <v>0</v>
      </c>
      <c r="P234" s="9"/>
      <c r="Q234" s="2">
        <f>M234+O234</f>
        <v>0</v>
      </c>
    </row>
    <row r="235" spans="1:31" ht="11.85" customHeight="1" x14ac:dyDescent="0.2">
      <c r="A235" s="3" t="s">
        <v>173</v>
      </c>
      <c r="C235" s="9">
        <v>-1.22</v>
      </c>
      <c r="D235" s="9"/>
      <c r="E235" s="9">
        <v>-47.51</v>
      </c>
      <c r="F235" s="9"/>
      <c r="G235" s="9">
        <v>6</v>
      </c>
      <c r="I235" s="2">
        <v>0</v>
      </c>
      <c r="K235" s="2">
        <v>0</v>
      </c>
      <c r="L235" s="9"/>
      <c r="M235" s="2">
        <v>0</v>
      </c>
      <c r="N235" s="9"/>
      <c r="O235" s="2">
        <v>0</v>
      </c>
      <c r="P235" s="9"/>
      <c r="Q235" s="2">
        <f>M235+O235</f>
        <v>0</v>
      </c>
    </row>
    <row r="236" spans="1:31" ht="11.85" customHeight="1" x14ac:dyDescent="0.2">
      <c r="A236" s="3" t="s">
        <v>174</v>
      </c>
      <c r="C236" s="9">
        <v>0</v>
      </c>
      <c r="D236" s="9"/>
      <c r="E236" s="9">
        <v>0</v>
      </c>
      <c r="F236" s="9"/>
      <c r="G236" s="9">
        <v>0</v>
      </c>
      <c r="I236" s="2">
        <v>0</v>
      </c>
      <c r="K236" s="2">
        <v>0</v>
      </c>
      <c r="L236" s="9"/>
      <c r="M236" s="2">
        <v>0</v>
      </c>
      <c r="N236" s="9"/>
      <c r="O236" s="2">
        <v>0</v>
      </c>
      <c r="P236" s="9"/>
      <c r="Q236" s="2">
        <f>M236+O236</f>
        <v>0</v>
      </c>
    </row>
    <row r="237" spans="1:31" ht="9" customHeight="1" x14ac:dyDescent="0.2">
      <c r="L237" s="9"/>
      <c r="N237" s="9"/>
      <c r="P237" s="9"/>
    </row>
    <row r="238" spans="1:31" ht="11.85" customHeight="1" x14ac:dyDescent="0.2">
      <c r="A238" s="3" t="s">
        <v>175</v>
      </c>
      <c r="C238" s="2">
        <v>0</v>
      </c>
      <c r="E238" s="2">
        <v>0</v>
      </c>
      <c r="G238" s="2">
        <v>0</v>
      </c>
      <c r="I238" s="2">
        <v>0</v>
      </c>
      <c r="K238" s="2">
        <v>0</v>
      </c>
      <c r="L238" s="9"/>
      <c r="M238" s="2">
        <v>0</v>
      </c>
      <c r="N238" s="9"/>
      <c r="O238" s="2">
        <v>0</v>
      </c>
      <c r="P238" s="9"/>
      <c r="Q238" s="2">
        <v>0</v>
      </c>
      <c r="V238" s="9"/>
    </row>
    <row r="239" spans="1:31" ht="11.85" customHeight="1" x14ac:dyDescent="0.2">
      <c r="A239" s="3" t="s">
        <v>176</v>
      </c>
      <c r="C239" s="2">
        <v>0</v>
      </c>
      <c r="E239" s="2">
        <v>0</v>
      </c>
      <c r="G239" s="2">
        <v>0</v>
      </c>
      <c r="I239" s="2">
        <v>0</v>
      </c>
      <c r="K239" s="2">
        <v>0</v>
      </c>
      <c r="L239" s="9"/>
      <c r="M239" s="2">
        <v>0</v>
      </c>
      <c r="N239" s="9"/>
      <c r="O239" s="2">
        <v>0</v>
      </c>
      <c r="P239" s="9"/>
      <c r="Q239" s="2">
        <f t="shared" ref="Q239:Q246" si="10">M239+O239</f>
        <v>0</v>
      </c>
      <c r="W239" s="9"/>
    </row>
    <row r="240" spans="1:31" ht="11.85" customHeight="1" x14ac:dyDescent="0.2">
      <c r="A240" s="3" t="s">
        <v>177</v>
      </c>
      <c r="C240" s="2">
        <v>0</v>
      </c>
      <c r="E240" s="2">
        <v>0</v>
      </c>
      <c r="G240" s="2">
        <v>17500</v>
      </c>
      <c r="I240" s="2">
        <v>0</v>
      </c>
      <c r="K240" s="2">
        <v>0</v>
      </c>
      <c r="L240" s="9"/>
      <c r="M240" s="2">
        <v>0</v>
      </c>
      <c r="N240" s="9"/>
      <c r="O240" s="2">
        <v>0</v>
      </c>
      <c r="P240" s="9"/>
      <c r="Q240" s="2">
        <f t="shared" si="10"/>
        <v>0</v>
      </c>
      <c r="X240" s="9"/>
    </row>
    <row r="241" spans="1:29" ht="11.85" customHeight="1" x14ac:dyDescent="0.2">
      <c r="A241" s="3" t="s">
        <v>178</v>
      </c>
      <c r="C241" s="2">
        <v>0</v>
      </c>
      <c r="E241" s="2">
        <v>0</v>
      </c>
      <c r="G241" s="2">
        <v>0</v>
      </c>
      <c r="I241" s="2">
        <v>0</v>
      </c>
      <c r="K241" s="2">
        <v>0</v>
      </c>
      <c r="L241" s="9"/>
      <c r="M241" s="2">
        <v>0</v>
      </c>
      <c r="N241" s="9"/>
      <c r="O241" s="2">
        <v>0</v>
      </c>
      <c r="P241" s="9"/>
      <c r="Q241" s="2">
        <f t="shared" si="10"/>
        <v>0</v>
      </c>
      <c r="X241" s="9"/>
    </row>
    <row r="242" spans="1:29" ht="11.85" customHeight="1" x14ac:dyDescent="0.2">
      <c r="A242" s="3" t="s">
        <v>179</v>
      </c>
      <c r="C242" s="2">
        <v>0</v>
      </c>
      <c r="E242" s="2">
        <v>100</v>
      </c>
      <c r="G242" s="2">
        <v>0</v>
      </c>
      <c r="I242" s="2">
        <v>0</v>
      </c>
      <c r="K242" s="2">
        <v>0</v>
      </c>
      <c r="L242" s="9"/>
      <c r="M242" s="2">
        <v>0</v>
      </c>
      <c r="N242" s="9"/>
      <c r="O242" s="2">
        <v>0</v>
      </c>
      <c r="P242" s="9"/>
      <c r="Q242" s="2">
        <f t="shared" si="10"/>
        <v>0</v>
      </c>
    </row>
    <row r="243" spans="1:29" ht="11.85" customHeight="1" x14ac:dyDescent="0.2">
      <c r="A243" s="3" t="s">
        <v>180</v>
      </c>
      <c r="C243" s="2">
        <v>0</v>
      </c>
      <c r="E243" s="2">
        <v>300</v>
      </c>
      <c r="G243" s="2">
        <v>150.47</v>
      </c>
      <c r="I243" s="2">
        <v>0</v>
      </c>
      <c r="K243" s="2">
        <v>0</v>
      </c>
      <c r="L243" s="9"/>
      <c r="M243" s="2">
        <v>0</v>
      </c>
      <c r="N243" s="9"/>
      <c r="O243" s="2">
        <v>0</v>
      </c>
      <c r="P243" s="9"/>
      <c r="Q243" s="2">
        <f t="shared" si="10"/>
        <v>0</v>
      </c>
    </row>
    <row r="244" spans="1:29" ht="11.85" customHeight="1" x14ac:dyDescent="0.2">
      <c r="A244" s="3" t="s">
        <v>181</v>
      </c>
      <c r="C244" s="2">
        <v>0</v>
      </c>
      <c r="E244" s="2">
        <v>0</v>
      </c>
      <c r="G244" s="2">
        <v>0</v>
      </c>
      <c r="I244" s="2">
        <v>0</v>
      </c>
      <c r="K244" s="2">
        <v>0</v>
      </c>
      <c r="L244" s="9"/>
      <c r="M244" s="2">
        <v>0</v>
      </c>
      <c r="N244" s="9"/>
      <c r="O244" s="2">
        <v>0</v>
      </c>
      <c r="P244" s="9"/>
      <c r="Q244" s="2">
        <f t="shared" si="10"/>
        <v>0</v>
      </c>
    </row>
    <row r="245" spans="1:29" ht="11.85" customHeight="1" x14ac:dyDescent="0.2">
      <c r="A245" s="3" t="s">
        <v>182</v>
      </c>
      <c r="C245" s="2">
        <v>60000</v>
      </c>
      <c r="E245" s="2">
        <v>0</v>
      </c>
      <c r="G245" s="2">
        <v>0</v>
      </c>
      <c r="I245" s="2">
        <v>0</v>
      </c>
      <c r="K245" s="2">
        <v>0</v>
      </c>
      <c r="L245" s="9"/>
      <c r="M245" s="2">
        <v>0</v>
      </c>
      <c r="N245" s="9"/>
      <c r="O245" s="2">
        <v>0</v>
      </c>
      <c r="P245" s="9"/>
      <c r="Q245" s="2">
        <f t="shared" si="10"/>
        <v>0</v>
      </c>
    </row>
    <row r="246" spans="1:29" ht="11.85" hidden="1" customHeight="1" x14ac:dyDescent="0.2">
      <c r="A246" s="3" t="s">
        <v>183</v>
      </c>
      <c r="C246" s="2">
        <v>0</v>
      </c>
      <c r="E246" s="2">
        <v>0</v>
      </c>
      <c r="G246" s="2">
        <v>0</v>
      </c>
      <c r="I246" s="2">
        <v>0</v>
      </c>
      <c r="K246" s="2">
        <v>0</v>
      </c>
      <c r="L246" s="9"/>
      <c r="M246" s="2">
        <v>0</v>
      </c>
      <c r="N246" s="9"/>
      <c r="O246" s="2">
        <v>0</v>
      </c>
      <c r="P246" s="9"/>
      <c r="Q246" s="2">
        <f t="shared" si="10"/>
        <v>0</v>
      </c>
    </row>
    <row r="247" spans="1:29" ht="9" customHeight="1" x14ac:dyDescent="0.2">
      <c r="L247" s="9"/>
      <c r="N247" s="9"/>
      <c r="P247" s="9"/>
    </row>
    <row r="248" spans="1:29" ht="11.85" customHeight="1" x14ac:dyDescent="0.2">
      <c r="A248" s="3" t="s">
        <v>184</v>
      </c>
      <c r="C248" s="2">
        <v>3926.2</v>
      </c>
      <c r="E248" s="2">
        <v>1359.44</v>
      </c>
      <c r="G248" s="2">
        <v>382.36</v>
      </c>
      <c r="I248" s="2">
        <v>0</v>
      </c>
      <c r="K248" s="2">
        <v>0</v>
      </c>
      <c r="L248" s="9"/>
      <c r="M248" s="2">
        <v>0</v>
      </c>
      <c r="N248" s="9"/>
      <c r="O248" s="2">
        <v>0</v>
      </c>
      <c r="P248" s="9"/>
      <c r="Q248" s="2">
        <f t="shared" ref="Q248:Q267" si="11">M248+O248</f>
        <v>0</v>
      </c>
      <c r="U248" s="9"/>
    </row>
    <row r="249" spans="1:29" ht="11.85" customHeight="1" x14ac:dyDescent="0.2">
      <c r="A249" s="3" t="s">
        <v>185</v>
      </c>
      <c r="C249" s="2">
        <v>80.67</v>
      </c>
      <c r="E249" s="2">
        <v>30089.95</v>
      </c>
      <c r="G249" s="2">
        <v>0</v>
      </c>
      <c r="I249" s="2">
        <v>0</v>
      </c>
      <c r="K249" s="2">
        <v>0</v>
      </c>
      <c r="L249" s="9"/>
      <c r="M249" s="2">
        <v>0</v>
      </c>
      <c r="N249" s="9"/>
      <c r="O249" s="2">
        <v>0</v>
      </c>
      <c r="P249" s="9"/>
      <c r="Q249" s="2">
        <f t="shared" si="11"/>
        <v>0</v>
      </c>
      <c r="V249" s="9"/>
    </row>
    <row r="250" spans="1:29" ht="11.85" customHeight="1" x14ac:dyDescent="0.2">
      <c r="A250" s="3" t="s">
        <v>186</v>
      </c>
      <c r="C250" s="2">
        <v>0</v>
      </c>
      <c r="E250" s="2">
        <v>4707</v>
      </c>
      <c r="G250" s="2">
        <v>16.760000000000002</v>
      </c>
      <c r="I250" s="2">
        <v>0</v>
      </c>
      <c r="K250" s="2">
        <v>0</v>
      </c>
      <c r="L250" s="9"/>
      <c r="M250" s="2">
        <v>0</v>
      </c>
      <c r="N250" s="9"/>
      <c r="O250" s="2">
        <v>0</v>
      </c>
      <c r="P250" s="9"/>
      <c r="Q250" s="2">
        <f t="shared" si="11"/>
        <v>0</v>
      </c>
      <c r="W250" s="9"/>
    </row>
    <row r="251" spans="1:29" ht="11.85" customHeight="1" x14ac:dyDescent="0.2">
      <c r="A251" s="3" t="s">
        <v>187</v>
      </c>
      <c r="C251" s="2">
        <v>0</v>
      </c>
      <c r="E251" s="2">
        <v>0</v>
      </c>
      <c r="G251" s="2">
        <v>518.16</v>
      </c>
      <c r="I251" s="2">
        <v>0</v>
      </c>
      <c r="K251" s="2">
        <v>0</v>
      </c>
      <c r="L251" s="9"/>
      <c r="M251" s="2">
        <v>0</v>
      </c>
      <c r="N251" s="9"/>
      <c r="O251" s="2">
        <v>0</v>
      </c>
      <c r="P251" s="9"/>
      <c r="Q251" s="2">
        <f t="shared" si="11"/>
        <v>0</v>
      </c>
    </row>
    <row r="252" spans="1:29" ht="11.85" customHeight="1" x14ac:dyDescent="0.2">
      <c r="A252" s="3" t="s">
        <v>188</v>
      </c>
      <c r="C252" s="2">
        <v>0</v>
      </c>
      <c r="E252" s="2">
        <v>0</v>
      </c>
      <c r="G252" s="2">
        <v>520.57000000000005</v>
      </c>
      <c r="I252" s="2">
        <v>0</v>
      </c>
      <c r="K252" s="2">
        <v>0</v>
      </c>
      <c r="L252" s="9"/>
      <c r="M252" s="2">
        <v>0</v>
      </c>
      <c r="N252" s="9"/>
      <c r="O252" s="2">
        <v>0</v>
      </c>
      <c r="P252" s="9"/>
      <c r="Q252" s="2">
        <f t="shared" si="11"/>
        <v>0</v>
      </c>
      <c r="X252" s="9"/>
    </row>
    <row r="253" spans="1:29" ht="11.85" customHeight="1" x14ac:dyDescent="0.2">
      <c r="A253" s="3" t="s">
        <v>189</v>
      </c>
      <c r="C253" s="2">
        <v>1715.42</v>
      </c>
      <c r="E253" s="2">
        <v>0</v>
      </c>
      <c r="G253" s="2">
        <v>0</v>
      </c>
      <c r="I253" s="2">
        <v>0</v>
      </c>
      <c r="K253" s="2">
        <v>0</v>
      </c>
      <c r="L253" s="9"/>
      <c r="M253" s="2">
        <v>0</v>
      </c>
      <c r="N253" s="9"/>
      <c r="O253" s="2">
        <v>0</v>
      </c>
      <c r="P253" s="9"/>
      <c r="Q253" s="2">
        <f t="shared" si="11"/>
        <v>0</v>
      </c>
      <c r="Y253" s="9"/>
    </row>
    <row r="254" spans="1:29" ht="11.85" customHeight="1" x14ac:dyDescent="0.2">
      <c r="A254" s="3" t="s">
        <v>190</v>
      </c>
      <c r="C254" s="2">
        <v>130.69</v>
      </c>
      <c r="E254" s="2">
        <v>0</v>
      </c>
      <c r="G254" s="2">
        <v>58.88</v>
      </c>
      <c r="I254" s="2">
        <v>0</v>
      </c>
      <c r="K254" s="2">
        <v>0</v>
      </c>
      <c r="L254" s="9"/>
      <c r="M254" s="2">
        <v>0</v>
      </c>
      <c r="N254" s="9"/>
      <c r="O254" s="2">
        <v>0</v>
      </c>
      <c r="P254" s="9"/>
      <c r="Q254" s="2">
        <f t="shared" si="11"/>
        <v>0</v>
      </c>
      <c r="Z254" s="9"/>
    </row>
    <row r="255" spans="1:29" ht="11.85" customHeight="1" x14ac:dyDescent="0.2">
      <c r="A255" s="3" t="s">
        <v>191</v>
      </c>
      <c r="C255" s="2">
        <v>45672.07</v>
      </c>
      <c r="E255" s="2">
        <v>44973.13</v>
      </c>
      <c r="G255" s="2">
        <v>59770.35</v>
      </c>
      <c r="I255" s="2">
        <v>44000</v>
      </c>
      <c r="K255" s="2">
        <f>44000+3500</f>
        <v>47500</v>
      </c>
      <c r="L255" s="9"/>
      <c r="M255" s="2">
        <v>46100</v>
      </c>
      <c r="N255" s="9"/>
      <c r="O255" s="2">
        <v>0</v>
      </c>
      <c r="P255" s="9"/>
      <c r="Q255" s="2">
        <f t="shared" si="11"/>
        <v>46100</v>
      </c>
      <c r="AA255" s="9"/>
    </row>
    <row r="256" spans="1:29" ht="11.85" customHeight="1" x14ac:dyDescent="0.2">
      <c r="A256" s="3" t="s">
        <v>192</v>
      </c>
      <c r="C256" s="2">
        <v>124.13</v>
      </c>
      <c r="E256" s="2">
        <v>0</v>
      </c>
      <c r="G256" s="2">
        <v>0</v>
      </c>
      <c r="I256" s="2">
        <v>0</v>
      </c>
      <c r="K256" s="2">
        <v>0</v>
      </c>
      <c r="L256" s="9"/>
      <c r="M256" s="2">
        <v>0</v>
      </c>
      <c r="N256" s="9"/>
      <c r="O256" s="2">
        <v>0</v>
      </c>
      <c r="P256" s="9"/>
      <c r="Q256" s="2">
        <f t="shared" si="11"/>
        <v>0</v>
      </c>
      <c r="AC256" s="9"/>
    </row>
    <row r="257" spans="1:31" ht="11.85" customHeight="1" x14ac:dyDescent="0.2">
      <c r="A257" s="3" t="s">
        <v>193</v>
      </c>
      <c r="C257" s="2">
        <v>0</v>
      </c>
      <c r="E257" s="2">
        <v>0</v>
      </c>
      <c r="G257" s="2">
        <v>0</v>
      </c>
      <c r="I257" s="2">
        <v>0</v>
      </c>
      <c r="K257" s="2">
        <v>0</v>
      </c>
      <c r="L257" s="9"/>
      <c r="M257" s="2">
        <v>0</v>
      </c>
      <c r="N257" s="9"/>
      <c r="O257" s="2">
        <v>0</v>
      </c>
      <c r="P257" s="9"/>
      <c r="Q257" s="2">
        <f t="shared" si="11"/>
        <v>0</v>
      </c>
      <c r="AC257" s="9"/>
    </row>
    <row r="258" spans="1:31" ht="11.85" customHeight="1" x14ac:dyDescent="0.2">
      <c r="A258" s="3" t="s">
        <v>194</v>
      </c>
      <c r="C258" s="2">
        <v>479.9</v>
      </c>
      <c r="E258" s="2">
        <v>6</v>
      </c>
      <c r="G258" s="2">
        <v>572</v>
      </c>
      <c r="I258" s="2">
        <v>0</v>
      </c>
      <c r="K258" s="2">
        <v>0</v>
      </c>
      <c r="L258" s="9"/>
      <c r="M258" s="2">
        <v>0</v>
      </c>
      <c r="N258" s="9"/>
      <c r="O258" s="2">
        <v>0</v>
      </c>
      <c r="P258" s="9"/>
      <c r="Q258" s="2">
        <f t="shared" si="11"/>
        <v>0</v>
      </c>
      <c r="AE258" s="9"/>
    </row>
    <row r="259" spans="1:31" ht="11.85" customHeight="1" x14ac:dyDescent="0.2">
      <c r="A259" s="3" t="s">
        <v>195</v>
      </c>
      <c r="C259" s="2">
        <v>0</v>
      </c>
      <c r="E259" s="2">
        <v>0</v>
      </c>
      <c r="G259" s="2">
        <v>0</v>
      </c>
      <c r="I259" s="2">
        <v>0</v>
      </c>
      <c r="K259" s="2">
        <v>0</v>
      </c>
      <c r="L259" s="9"/>
      <c r="M259" s="2">
        <v>0</v>
      </c>
      <c r="N259" s="9"/>
      <c r="O259" s="2">
        <v>0</v>
      </c>
      <c r="P259" s="9"/>
      <c r="Q259" s="2">
        <f t="shared" si="11"/>
        <v>0</v>
      </c>
      <c r="AE259" s="9"/>
    </row>
    <row r="260" spans="1:31" ht="11.85" customHeight="1" x14ac:dyDescent="0.2">
      <c r="A260" s="3" t="s">
        <v>196</v>
      </c>
      <c r="C260" s="2">
        <v>0</v>
      </c>
      <c r="E260" s="2">
        <v>0</v>
      </c>
      <c r="G260" s="2">
        <v>0</v>
      </c>
      <c r="I260" s="2">
        <v>0</v>
      </c>
      <c r="K260" s="2">
        <v>0</v>
      </c>
      <c r="L260" s="9"/>
      <c r="M260" s="2">
        <v>0</v>
      </c>
      <c r="N260" s="9"/>
      <c r="O260" s="2">
        <v>0</v>
      </c>
      <c r="P260" s="9"/>
      <c r="Q260" s="2">
        <f t="shared" si="11"/>
        <v>0</v>
      </c>
    </row>
    <row r="261" spans="1:31" ht="11.85" customHeight="1" x14ac:dyDescent="0.2">
      <c r="A261" s="3" t="s">
        <v>197</v>
      </c>
      <c r="C261" s="2">
        <v>0</v>
      </c>
      <c r="E261" s="2">
        <v>0</v>
      </c>
      <c r="G261" s="2">
        <v>0</v>
      </c>
      <c r="I261" s="2">
        <v>0</v>
      </c>
      <c r="K261" s="2">
        <v>0</v>
      </c>
      <c r="L261" s="9"/>
      <c r="M261" s="2">
        <v>0</v>
      </c>
      <c r="N261" s="9"/>
      <c r="O261" s="2">
        <v>0</v>
      </c>
      <c r="P261" s="9"/>
      <c r="Q261" s="2">
        <f t="shared" si="11"/>
        <v>0</v>
      </c>
    </row>
    <row r="262" spans="1:31" ht="11.85" customHeight="1" x14ac:dyDescent="0.2">
      <c r="A262" s="3" t="s">
        <v>198</v>
      </c>
      <c r="C262" s="2">
        <v>0</v>
      </c>
      <c r="E262" s="2">
        <v>0</v>
      </c>
      <c r="G262" s="2">
        <v>0</v>
      </c>
      <c r="I262" s="2">
        <v>0</v>
      </c>
      <c r="K262" s="2">
        <v>0</v>
      </c>
      <c r="L262" s="9"/>
      <c r="M262" s="2">
        <v>0</v>
      </c>
      <c r="N262" s="9"/>
      <c r="O262" s="2">
        <v>0</v>
      </c>
      <c r="P262" s="9"/>
      <c r="Q262" s="2">
        <f t="shared" si="11"/>
        <v>0</v>
      </c>
    </row>
    <row r="263" spans="1:31" ht="11.85" customHeight="1" x14ac:dyDescent="0.2">
      <c r="A263" s="3" t="s">
        <v>199</v>
      </c>
      <c r="C263" s="2">
        <v>0</v>
      </c>
      <c r="E263" s="2">
        <v>620</v>
      </c>
      <c r="G263" s="2">
        <v>0</v>
      </c>
      <c r="I263" s="2">
        <v>0</v>
      </c>
      <c r="K263" s="2">
        <v>0</v>
      </c>
      <c r="L263" s="9"/>
      <c r="M263" s="2">
        <v>0</v>
      </c>
      <c r="N263" s="9"/>
      <c r="O263" s="2">
        <v>0</v>
      </c>
      <c r="P263" s="9"/>
      <c r="Q263" s="2">
        <f t="shared" si="11"/>
        <v>0</v>
      </c>
    </row>
    <row r="264" spans="1:31" ht="11.85" customHeight="1" x14ac:dyDescent="0.2">
      <c r="A264" s="3" t="s">
        <v>200</v>
      </c>
      <c r="C264" s="2">
        <v>1237.74</v>
      </c>
      <c r="E264" s="2">
        <v>0</v>
      </c>
      <c r="G264" s="2">
        <v>0</v>
      </c>
      <c r="I264" s="2">
        <v>0</v>
      </c>
      <c r="K264" s="2">
        <v>0</v>
      </c>
      <c r="L264" s="9"/>
      <c r="M264" s="2">
        <v>0</v>
      </c>
      <c r="N264" s="9"/>
      <c r="O264" s="2">
        <v>0</v>
      </c>
      <c r="P264" s="9"/>
      <c r="Q264" s="2">
        <f t="shared" si="11"/>
        <v>0</v>
      </c>
    </row>
    <row r="265" spans="1:31" ht="11.85" customHeight="1" x14ac:dyDescent="0.2">
      <c r="A265" s="3" t="s">
        <v>201</v>
      </c>
      <c r="C265" s="2">
        <v>12735.49</v>
      </c>
      <c r="E265" s="2">
        <v>0</v>
      </c>
      <c r="G265" s="2">
        <v>0</v>
      </c>
      <c r="I265" s="2">
        <v>0</v>
      </c>
      <c r="K265" s="2">
        <v>0</v>
      </c>
      <c r="L265" s="9"/>
      <c r="M265" s="2">
        <v>0</v>
      </c>
      <c r="N265" s="9"/>
      <c r="O265" s="2">
        <v>0</v>
      </c>
      <c r="P265" s="9"/>
      <c r="Q265" s="2">
        <f t="shared" si="11"/>
        <v>0</v>
      </c>
    </row>
    <row r="266" spans="1:31" ht="11.85" customHeight="1" x14ac:dyDescent="0.2">
      <c r="A266" s="3" t="s">
        <v>202</v>
      </c>
      <c r="C266" s="2">
        <v>3343.15</v>
      </c>
      <c r="E266" s="2">
        <v>1621.68</v>
      </c>
      <c r="G266" s="2">
        <v>3476.88</v>
      </c>
      <c r="I266" s="2">
        <v>0</v>
      </c>
      <c r="K266" s="2">
        <v>0</v>
      </c>
      <c r="L266" s="9"/>
      <c r="M266" s="2">
        <v>0</v>
      </c>
      <c r="N266" s="9"/>
      <c r="O266" s="2">
        <v>0</v>
      </c>
      <c r="P266" s="9"/>
      <c r="Q266" s="2">
        <f t="shared" si="11"/>
        <v>0</v>
      </c>
    </row>
    <row r="267" spans="1:31" ht="11.85" customHeight="1" x14ac:dyDescent="0.2">
      <c r="A267" s="3" t="s">
        <v>203</v>
      </c>
      <c r="C267" s="2">
        <v>7594</v>
      </c>
      <c r="E267" s="2">
        <v>8283.68</v>
      </c>
      <c r="G267" s="2">
        <v>677.3</v>
      </c>
      <c r="I267" s="2">
        <v>0</v>
      </c>
      <c r="K267" s="2">
        <v>0</v>
      </c>
      <c r="L267" s="9"/>
      <c r="M267" s="2">
        <v>0</v>
      </c>
      <c r="N267" s="9"/>
      <c r="O267" s="2">
        <v>0</v>
      </c>
      <c r="P267" s="9"/>
      <c r="Q267" s="2">
        <f t="shared" si="11"/>
        <v>0</v>
      </c>
    </row>
    <row r="268" spans="1:31" ht="11.85" customHeight="1" x14ac:dyDescent="0.2">
      <c r="L268" s="9"/>
      <c r="N268" s="9"/>
      <c r="P268" s="9"/>
    </row>
    <row r="269" spans="1:31" ht="11.85" customHeight="1" x14ac:dyDescent="0.2">
      <c r="A269" s="3" t="s">
        <v>204</v>
      </c>
      <c r="C269" s="2">
        <v>0</v>
      </c>
      <c r="E269" s="2">
        <v>0</v>
      </c>
      <c r="G269" s="2">
        <v>0</v>
      </c>
      <c r="I269" s="2">
        <v>0</v>
      </c>
      <c r="K269" s="2">
        <v>0</v>
      </c>
      <c r="L269" s="9"/>
      <c r="M269" s="2">
        <v>0</v>
      </c>
      <c r="N269" s="9"/>
      <c r="O269" s="2">
        <v>0</v>
      </c>
      <c r="P269" s="9"/>
      <c r="Q269" s="18">
        <f t="shared" ref="Q269:Q277" si="12">M269+O269</f>
        <v>0</v>
      </c>
      <c r="V269" s="9"/>
    </row>
    <row r="270" spans="1:31" ht="11.85" customHeight="1" x14ac:dyDescent="0.2">
      <c r="A270" s="3" t="s">
        <v>205</v>
      </c>
      <c r="C270" s="2">
        <v>0</v>
      </c>
      <c r="E270" s="2">
        <v>0</v>
      </c>
      <c r="G270" s="2">
        <v>0</v>
      </c>
      <c r="I270" s="2">
        <v>0</v>
      </c>
      <c r="K270" s="2">
        <v>0</v>
      </c>
      <c r="L270" s="9"/>
      <c r="M270" s="2">
        <v>0</v>
      </c>
      <c r="N270" s="9"/>
      <c r="O270" s="2">
        <v>0</v>
      </c>
      <c r="P270" s="9"/>
      <c r="Q270" s="2">
        <f t="shared" si="12"/>
        <v>0</v>
      </c>
      <c r="W270" s="9"/>
    </row>
    <row r="271" spans="1:31" ht="11.85" customHeight="1" x14ac:dyDescent="0.2">
      <c r="A271" s="3" t="s">
        <v>206</v>
      </c>
      <c r="C271" s="2">
        <v>0</v>
      </c>
      <c r="E271" s="2">
        <v>0</v>
      </c>
      <c r="G271" s="2">
        <v>780</v>
      </c>
      <c r="I271" s="2">
        <v>0</v>
      </c>
      <c r="K271" s="2">
        <v>0</v>
      </c>
      <c r="L271" s="9"/>
      <c r="M271" s="2">
        <v>0</v>
      </c>
      <c r="N271" s="9"/>
      <c r="O271" s="2">
        <v>0</v>
      </c>
      <c r="P271" s="9"/>
      <c r="Q271" s="2">
        <f t="shared" si="12"/>
        <v>0</v>
      </c>
      <c r="X271" s="9"/>
    </row>
    <row r="272" spans="1:31" ht="11.85" customHeight="1" x14ac:dyDescent="0.2">
      <c r="A272" s="3" t="s">
        <v>207</v>
      </c>
      <c r="C272" s="2">
        <v>0</v>
      </c>
      <c r="E272" s="2">
        <v>0</v>
      </c>
      <c r="G272" s="2">
        <v>0</v>
      </c>
      <c r="I272" s="2">
        <v>0</v>
      </c>
      <c r="K272" s="2">
        <v>0</v>
      </c>
      <c r="L272" s="9"/>
      <c r="M272" s="2">
        <v>0</v>
      </c>
      <c r="N272" s="9"/>
      <c r="O272" s="2">
        <v>0</v>
      </c>
      <c r="P272" s="9"/>
      <c r="Q272" s="2">
        <f t="shared" si="12"/>
        <v>0</v>
      </c>
      <c r="Y272" s="9"/>
    </row>
    <row r="273" spans="1:25" ht="11.85" customHeight="1" x14ac:dyDescent="0.2">
      <c r="A273" s="3" t="s">
        <v>208</v>
      </c>
      <c r="C273" s="2">
        <v>0</v>
      </c>
      <c r="E273" s="2">
        <v>0</v>
      </c>
      <c r="G273" s="2">
        <v>0</v>
      </c>
      <c r="I273" s="2">
        <v>0</v>
      </c>
      <c r="K273" s="2">
        <v>0</v>
      </c>
      <c r="L273" s="9"/>
      <c r="M273" s="2">
        <v>0</v>
      </c>
      <c r="N273" s="9"/>
      <c r="O273" s="2">
        <v>0</v>
      </c>
      <c r="P273" s="9"/>
      <c r="Q273" s="2">
        <f t="shared" si="12"/>
        <v>0</v>
      </c>
    </row>
    <row r="274" spans="1:25" ht="11.85" customHeight="1" x14ac:dyDescent="0.2">
      <c r="A274" s="3" t="s">
        <v>209</v>
      </c>
      <c r="C274" s="2">
        <v>0</v>
      </c>
      <c r="E274" s="2">
        <v>0</v>
      </c>
      <c r="G274" s="2">
        <v>0</v>
      </c>
      <c r="L274" s="9"/>
      <c r="M274" s="2">
        <v>0</v>
      </c>
      <c r="N274" s="9"/>
      <c r="O274" s="2">
        <v>0</v>
      </c>
      <c r="P274" s="9"/>
      <c r="Q274" s="2">
        <f>M274+O274</f>
        <v>0</v>
      </c>
    </row>
    <row r="275" spans="1:25" ht="11.85" customHeight="1" x14ac:dyDescent="0.2">
      <c r="A275" s="3" t="s">
        <v>210</v>
      </c>
      <c r="C275" s="2">
        <v>0</v>
      </c>
      <c r="E275" s="2">
        <v>0</v>
      </c>
      <c r="G275" s="2">
        <v>0</v>
      </c>
      <c r="I275" s="2">
        <v>0</v>
      </c>
      <c r="K275" s="2">
        <v>0</v>
      </c>
      <c r="L275" s="9"/>
      <c r="M275" s="2">
        <v>0</v>
      </c>
      <c r="N275" s="9"/>
      <c r="O275" s="2">
        <v>0</v>
      </c>
      <c r="P275" s="9"/>
      <c r="Q275" s="2">
        <f t="shared" si="12"/>
        <v>0</v>
      </c>
    </row>
    <row r="276" spans="1:25" ht="11.85" customHeight="1" x14ac:dyDescent="0.2">
      <c r="A276" s="3" t="s">
        <v>211</v>
      </c>
      <c r="C276" s="2">
        <v>0</v>
      </c>
      <c r="E276" s="2">
        <v>0</v>
      </c>
      <c r="G276" s="2">
        <v>283.58</v>
      </c>
      <c r="I276" s="2">
        <v>0</v>
      </c>
      <c r="K276" s="2">
        <v>0</v>
      </c>
      <c r="L276" s="9"/>
      <c r="M276" s="2">
        <v>0</v>
      </c>
      <c r="N276" s="9"/>
      <c r="O276" s="2">
        <v>0</v>
      </c>
      <c r="P276" s="9"/>
      <c r="Q276" s="2">
        <f t="shared" si="12"/>
        <v>0</v>
      </c>
    </row>
    <row r="277" spans="1:25" ht="11.85" customHeight="1" x14ac:dyDescent="0.2">
      <c r="A277" s="3" t="s">
        <v>212</v>
      </c>
      <c r="C277" s="2">
        <v>0</v>
      </c>
      <c r="E277" s="2">
        <v>0</v>
      </c>
      <c r="G277" s="2">
        <v>0</v>
      </c>
      <c r="I277" s="2">
        <v>0</v>
      </c>
      <c r="K277" s="2">
        <v>0</v>
      </c>
      <c r="L277" s="9"/>
      <c r="M277" s="2">
        <v>0</v>
      </c>
      <c r="N277" s="9"/>
      <c r="O277" s="2">
        <v>0</v>
      </c>
      <c r="P277" s="9"/>
      <c r="Q277" s="2">
        <f t="shared" si="12"/>
        <v>0</v>
      </c>
    </row>
    <row r="278" spans="1:25" ht="9" customHeight="1" x14ac:dyDescent="0.2">
      <c r="L278" s="9"/>
      <c r="N278" s="9"/>
      <c r="P278" s="9"/>
    </row>
    <row r="279" spans="1:25" ht="11.85" hidden="1" customHeight="1" x14ac:dyDescent="0.2">
      <c r="A279" s="3" t="s">
        <v>213</v>
      </c>
      <c r="C279" s="2">
        <v>0</v>
      </c>
      <c r="E279" s="2">
        <v>0</v>
      </c>
      <c r="G279" s="2">
        <v>0</v>
      </c>
      <c r="I279" s="2">
        <v>0</v>
      </c>
      <c r="K279" s="2">
        <v>0</v>
      </c>
      <c r="L279" s="9"/>
      <c r="M279" s="2">
        <v>0</v>
      </c>
      <c r="N279" s="9"/>
      <c r="O279" s="2">
        <v>0</v>
      </c>
      <c r="P279" s="9"/>
      <c r="Q279" s="2">
        <f t="shared" ref="Q279:Q284" si="13">M279+O279</f>
        <v>0</v>
      </c>
      <c r="U279" s="9"/>
    </row>
    <row r="280" spans="1:25" ht="11.85" customHeight="1" x14ac:dyDescent="0.2">
      <c r="A280" s="3" t="s">
        <v>214</v>
      </c>
      <c r="C280" s="2">
        <v>116</v>
      </c>
      <c r="E280" s="2">
        <v>129</v>
      </c>
      <c r="G280" s="2">
        <v>102</v>
      </c>
      <c r="I280" s="2">
        <v>300</v>
      </c>
      <c r="K280" s="2">
        <v>300</v>
      </c>
      <c r="L280" s="9"/>
      <c r="M280" s="2">
        <v>0</v>
      </c>
      <c r="N280" s="9"/>
      <c r="O280" s="2">
        <v>0</v>
      </c>
      <c r="P280" s="9"/>
      <c r="Q280" s="2">
        <f t="shared" si="13"/>
        <v>0</v>
      </c>
      <c r="V280" s="9"/>
    </row>
    <row r="281" spans="1:25" ht="11.85" hidden="1" customHeight="1" x14ac:dyDescent="0.2">
      <c r="A281" s="3" t="s">
        <v>215</v>
      </c>
      <c r="C281" s="2">
        <v>0</v>
      </c>
      <c r="E281" s="2">
        <v>0</v>
      </c>
      <c r="G281" s="2">
        <v>0</v>
      </c>
      <c r="I281" s="2">
        <v>0</v>
      </c>
      <c r="K281" s="2">
        <v>0</v>
      </c>
      <c r="L281" s="9"/>
      <c r="M281" s="2">
        <v>0</v>
      </c>
      <c r="N281" s="9"/>
      <c r="O281" s="2">
        <v>0</v>
      </c>
      <c r="P281" s="9"/>
      <c r="Q281" s="2">
        <f t="shared" si="13"/>
        <v>0</v>
      </c>
      <c r="X281" s="9"/>
    </row>
    <row r="282" spans="1:25" ht="11.85" customHeight="1" x14ac:dyDescent="0.2">
      <c r="A282" s="3" t="s">
        <v>216</v>
      </c>
      <c r="C282" s="2">
        <v>308.31</v>
      </c>
      <c r="E282" s="2">
        <v>850.99</v>
      </c>
      <c r="G282" s="2">
        <v>966</v>
      </c>
      <c r="I282" s="2">
        <v>500</v>
      </c>
      <c r="K282" s="2">
        <v>500</v>
      </c>
      <c r="L282" s="9"/>
      <c r="M282" s="2">
        <v>800</v>
      </c>
      <c r="N282" s="9"/>
      <c r="O282" s="2">
        <v>0</v>
      </c>
      <c r="P282" s="9"/>
      <c r="Q282" s="2">
        <f t="shared" si="13"/>
        <v>800</v>
      </c>
      <c r="Y282" s="9"/>
    </row>
    <row r="283" spans="1:25" ht="11.85" customHeight="1" x14ac:dyDescent="0.2">
      <c r="A283" s="3" t="s">
        <v>217</v>
      </c>
      <c r="C283" s="2">
        <v>4335</v>
      </c>
      <c r="E283" s="2">
        <v>3041.59</v>
      </c>
      <c r="G283" s="2">
        <v>4162.59</v>
      </c>
      <c r="I283" s="2">
        <v>2000</v>
      </c>
      <c r="K283" s="2">
        <v>2000</v>
      </c>
      <c r="L283" s="9"/>
      <c r="M283" s="2">
        <v>3400</v>
      </c>
      <c r="N283" s="9"/>
      <c r="O283" s="2">
        <v>0</v>
      </c>
      <c r="P283" s="9"/>
      <c r="Q283" s="2">
        <f t="shared" si="13"/>
        <v>3400</v>
      </c>
    </row>
    <row r="284" spans="1:25" ht="11.85" hidden="1" customHeight="1" x14ac:dyDescent="0.2">
      <c r="A284" s="3" t="s">
        <v>218</v>
      </c>
      <c r="C284" s="2">
        <v>0</v>
      </c>
      <c r="E284" s="2">
        <v>0</v>
      </c>
      <c r="G284" s="2">
        <v>0</v>
      </c>
      <c r="I284" s="2">
        <v>0</v>
      </c>
      <c r="K284" s="2">
        <v>0</v>
      </c>
      <c r="L284" s="9"/>
      <c r="M284" s="2">
        <v>0</v>
      </c>
      <c r="N284" s="9"/>
      <c r="O284" s="2">
        <v>0</v>
      </c>
      <c r="P284" s="9"/>
      <c r="Q284" s="2">
        <f t="shared" si="13"/>
        <v>0</v>
      </c>
    </row>
    <row r="285" spans="1:25" ht="11.85" customHeight="1" x14ac:dyDescent="0.2">
      <c r="L285" s="9"/>
      <c r="N285" s="9"/>
      <c r="P285" s="9"/>
    </row>
    <row r="286" spans="1:25" ht="11.85" customHeight="1" x14ac:dyDescent="0.2">
      <c r="L286" s="9"/>
      <c r="N286" s="9"/>
      <c r="P286" s="9"/>
    </row>
    <row r="287" spans="1:25" ht="11.85" customHeight="1" x14ac:dyDescent="0.2">
      <c r="A287" s="1"/>
      <c r="B287" s="1"/>
      <c r="E287" s="2" t="str">
        <f>$E$1</f>
        <v>CITY OF BRADY</v>
      </c>
    </row>
    <row r="288" spans="1:25" ht="11.85" customHeight="1" x14ac:dyDescent="0.2">
      <c r="E288" s="2" t="str">
        <f>$E$2</f>
        <v>BUDGET REPORT</v>
      </c>
    </row>
    <row r="289" spans="1:23" ht="11.85" customHeight="1" x14ac:dyDescent="0.2">
      <c r="E289" s="2" t="str">
        <f>$E$3</f>
        <v>FISCAL YEAR 2024 - 2025</v>
      </c>
    </row>
    <row r="290" spans="1:23" ht="11.85" customHeight="1" x14ac:dyDescent="0.2">
      <c r="A290" s="3" t="s">
        <v>3</v>
      </c>
    </row>
    <row r="291" spans="1:23" ht="11.85" customHeight="1" x14ac:dyDescent="0.2"/>
    <row r="292" spans="1:23" ht="11.85" customHeight="1" x14ac:dyDescent="0.2">
      <c r="I292" s="53" t="str">
        <f>+I6</f>
        <v>(----- 2023-2024------)</v>
      </c>
      <c r="J292" s="53"/>
      <c r="K292" s="53"/>
      <c r="L292" s="6"/>
      <c r="M292" s="54" t="str">
        <f>$M$6</f>
        <v>2024-2025</v>
      </c>
      <c r="N292" s="54"/>
      <c r="O292" s="54"/>
      <c r="P292" s="54"/>
      <c r="Q292" s="54"/>
    </row>
    <row r="293" spans="1:23" ht="11.85" customHeight="1" x14ac:dyDescent="0.2">
      <c r="C293" s="5" t="str">
        <f>$C$7</f>
        <v>2020-2021</v>
      </c>
      <c r="D293" s="5"/>
      <c r="E293" s="5" t="str">
        <f>$E$7</f>
        <v>2021-2022</v>
      </c>
      <c r="F293" s="5"/>
      <c r="G293" s="5" t="str">
        <f>$G$7</f>
        <v>2022-2023</v>
      </c>
      <c r="H293" s="5"/>
      <c r="I293" s="5" t="s">
        <v>9</v>
      </c>
      <c r="J293" s="5"/>
      <c r="K293" s="5" t="str">
        <f>+$K$7</f>
        <v>PROJECTED</v>
      </c>
      <c r="L293" s="6"/>
      <c r="M293" s="5">
        <f>$M$7</f>
        <v>0</v>
      </c>
      <c r="N293" s="6"/>
      <c r="O293" s="5" t="str">
        <f>$O$7</f>
        <v>2024-2025</v>
      </c>
      <c r="P293" s="6"/>
      <c r="Q293" s="5" t="str">
        <f>$Q$7</f>
        <v>APPROVED</v>
      </c>
    </row>
    <row r="294" spans="1:23" ht="11.85" customHeight="1" x14ac:dyDescent="0.2">
      <c r="A294" s="7"/>
      <c r="C294" s="8" t="s">
        <v>12</v>
      </c>
      <c r="D294" s="5"/>
      <c r="E294" s="8" t="s">
        <v>12</v>
      </c>
      <c r="F294" s="5"/>
      <c r="G294" s="8" t="s">
        <v>12</v>
      </c>
      <c r="H294" s="5"/>
      <c r="I294" s="8" t="s">
        <v>13</v>
      </c>
      <c r="J294" s="5"/>
      <c r="K294" s="8" t="s">
        <v>13</v>
      </c>
      <c r="L294" s="6"/>
      <c r="M294" s="8" t="str">
        <f>$M$8</f>
        <v>BASE</v>
      </c>
      <c r="N294" s="6"/>
      <c r="O294" s="8" t="str">
        <f>$O$8</f>
        <v>SUPPLEMENTAL</v>
      </c>
      <c r="P294" s="6"/>
      <c r="Q294" s="8" t="str">
        <f>$Q$8</f>
        <v>BUDGET</v>
      </c>
    </row>
    <row r="295" spans="1:23" ht="11.85" customHeight="1" x14ac:dyDescent="0.2">
      <c r="L295" s="9"/>
      <c r="N295" s="9"/>
      <c r="P295" s="9"/>
    </row>
    <row r="296" spans="1:23" ht="11.85" hidden="1" customHeight="1" x14ac:dyDescent="0.2">
      <c r="A296" s="3" t="s">
        <v>219</v>
      </c>
      <c r="C296" s="2">
        <v>0</v>
      </c>
      <c r="E296" s="2">
        <v>0</v>
      </c>
      <c r="G296" s="2">
        <v>0</v>
      </c>
      <c r="I296" s="2">
        <v>0</v>
      </c>
      <c r="K296" s="2">
        <v>0</v>
      </c>
      <c r="L296" s="9"/>
      <c r="M296" s="2">
        <v>0</v>
      </c>
      <c r="N296" s="9"/>
      <c r="O296" s="2">
        <v>0</v>
      </c>
      <c r="P296" s="9"/>
      <c r="Q296" s="2">
        <v>0</v>
      </c>
    </row>
    <row r="297" spans="1:23" ht="11.85" hidden="1" customHeight="1" x14ac:dyDescent="0.2">
      <c r="A297" s="3" t="s">
        <v>220</v>
      </c>
      <c r="C297" s="2">
        <v>0</v>
      </c>
      <c r="E297" s="2">
        <v>0</v>
      </c>
      <c r="I297" s="2">
        <v>0</v>
      </c>
      <c r="K297" s="2">
        <v>0</v>
      </c>
      <c r="L297" s="9"/>
      <c r="M297" s="2">
        <v>0</v>
      </c>
      <c r="N297" s="9"/>
      <c r="O297" s="2">
        <v>0</v>
      </c>
      <c r="P297" s="9"/>
      <c r="Q297" s="2">
        <f>M297+O297</f>
        <v>0</v>
      </c>
    </row>
    <row r="298" spans="1:23" ht="11.85" hidden="1" customHeight="1" x14ac:dyDescent="0.2">
      <c r="A298" s="3" t="s">
        <v>221</v>
      </c>
      <c r="C298" s="2">
        <v>0</v>
      </c>
      <c r="E298" s="2">
        <v>0</v>
      </c>
      <c r="I298" s="2">
        <v>0</v>
      </c>
      <c r="K298" s="2">
        <v>0</v>
      </c>
      <c r="L298" s="9"/>
      <c r="M298" s="2">
        <v>0</v>
      </c>
      <c r="N298" s="9"/>
      <c r="O298" s="2">
        <v>0</v>
      </c>
      <c r="P298" s="9"/>
      <c r="Q298" s="2">
        <f>M298+O298</f>
        <v>0</v>
      </c>
    </row>
    <row r="299" spans="1:23" ht="11.85" hidden="1" customHeight="1" x14ac:dyDescent="0.2">
      <c r="A299" s="3" t="s">
        <v>222</v>
      </c>
      <c r="C299" s="2">
        <v>0</v>
      </c>
      <c r="E299" s="2">
        <v>0</v>
      </c>
      <c r="I299" s="2">
        <v>0</v>
      </c>
      <c r="K299" s="2">
        <v>0</v>
      </c>
      <c r="L299" s="9"/>
      <c r="M299" s="2">
        <v>0</v>
      </c>
      <c r="N299" s="9"/>
      <c r="O299" s="2">
        <v>0</v>
      </c>
      <c r="P299" s="9"/>
      <c r="Q299" s="2">
        <v>0</v>
      </c>
    </row>
    <row r="300" spans="1:23" ht="11.85" hidden="1" customHeight="1" x14ac:dyDescent="0.2">
      <c r="A300" s="3" t="s">
        <v>223</v>
      </c>
      <c r="C300" s="2">
        <v>0</v>
      </c>
      <c r="E300" s="2">
        <v>0</v>
      </c>
      <c r="I300" s="2">
        <v>0</v>
      </c>
      <c r="K300" s="2">
        <v>0</v>
      </c>
      <c r="L300" s="9"/>
      <c r="M300" s="2">
        <v>0</v>
      </c>
      <c r="N300" s="9"/>
      <c r="O300" s="2">
        <v>0</v>
      </c>
      <c r="P300" s="9"/>
      <c r="Q300" s="2">
        <v>0</v>
      </c>
    </row>
    <row r="301" spans="1:23" ht="11.85" hidden="1" customHeight="1" x14ac:dyDescent="0.2">
      <c r="A301" s="3" t="s">
        <v>224</v>
      </c>
      <c r="C301" s="2">
        <v>0</v>
      </c>
      <c r="E301" s="2">
        <v>0</v>
      </c>
      <c r="I301" s="2">
        <v>0</v>
      </c>
      <c r="K301" s="2">
        <v>0</v>
      </c>
      <c r="L301" s="9"/>
      <c r="M301" s="2">
        <v>0</v>
      </c>
      <c r="N301" s="9"/>
      <c r="O301" s="2">
        <v>0</v>
      </c>
      <c r="P301" s="9"/>
      <c r="Q301" s="2">
        <v>0</v>
      </c>
    </row>
    <row r="302" spans="1:23" ht="11.85" hidden="1" customHeight="1" x14ac:dyDescent="0.2">
      <c r="A302" s="3" t="s">
        <v>225</v>
      </c>
      <c r="C302" s="2">
        <v>0</v>
      </c>
      <c r="E302" s="2">
        <v>0</v>
      </c>
      <c r="I302" s="2">
        <v>0</v>
      </c>
      <c r="K302" s="2">
        <v>0</v>
      </c>
      <c r="L302" s="9"/>
      <c r="M302" s="2">
        <v>0</v>
      </c>
      <c r="N302" s="9"/>
      <c r="O302" s="2">
        <v>0</v>
      </c>
      <c r="P302" s="9"/>
      <c r="Q302" s="2">
        <v>0</v>
      </c>
    </row>
    <row r="303" spans="1:23" ht="6" hidden="1" customHeight="1" x14ac:dyDescent="0.2"/>
    <row r="304" spans="1:23" ht="11.85" customHeight="1" x14ac:dyDescent="0.2">
      <c r="A304" s="3" t="s">
        <v>226</v>
      </c>
      <c r="C304" s="2">
        <v>27531.119999999999</v>
      </c>
      <c r="E304" s="2">
        <v>25449.59</v>
      </c>
      <c r="G304" s="2">
        <v>17603.75</v>
      </c>
      <c r="I304" s="2">
        <v>20000</v>
      </c>
      <c r="K304" s="2">
        <v>20000</v>
      </c>
      <c r="L304" s="9"/>
      <c r="M304" s="2">
        <v>20000</v>
      </c>
      <c r="N304" s="9"/>
      <c r="O304" s="2">
        <v>0</v>
      </c>
      <c r="P304" s="9"/>
      <c r="Q304" s="2">
        <f>M304+O304</f>
        <v>20000</v>
      </c>
      <c r="W304" s="9"/>
    </row>
    <row r="305" spans="1:27" ht="6" customHeight="1" x14ac:dyDescent="0.2"/>
    <row r="306" spans="1:27" ht="11.85" customHeight="1" x14ac:dyDescent="0.2">
      <c r="A306" s="3" t="s">
        <v>227</v>
      </c>
      <c r="C306" s="2">
        <v>0</v>
      </c>
      <c r="E306" s="2">
        <v>545.70000000000005</v>
      </c>
      <c r="G306" s="2">
        <v>0</v>
      </c>
      <c r="I306" s="2">
        <v>0</v>
      </c>
      <c r="K306" s="2">
        <v>0</v>
      </c>
      <c r="L306" s="9"/>
      <c r="M306" s="2">
        <v>0</v>
      </c>
      <c r="N306" s="9"/>
      <c r="O306" s="2">
        <v>0</v>
      </c>
      <c r="P306" s="9"/>
      <c r="Q306" s="2">
        <f>M306+O306</f>
        <v>0</v>
      </c>
      <c r="W306" s="9"/>
    </row>
    <row r="307" spans="1:27" ht="11.85" customHeight="1" x14ac:dyDescent="0.2">
      <c r="A307" s="3" t="s">
        <v>228</v>
      </c>
      <c r="C307" s="2">
        <v>44.7</v>
      </c>
      <c r="E307" s="2">
        <v>74.8</v>
      </c>
      <c r="G307" s="2">
        <v>0</v>
      </c>
      <c r="I307" s="2">
        <v>0</v>
      </c>
      <c r="K307" s="2">
        <v>0</v>
      </c>
      <c r="L307" s="9"/>
      <c r="M307" s="2">
        <v>0</v>
      </c>
      <c r="N307" s="9"/>
      <c r="O307" s="2">
        <v>0</v>
      </c>
      <c r="P307" s="9"/>
      <c r="Q307" s="2">
        <f>M307+O307</f>
        <v>0</v>
      </c>
      <c r="W307" s="9"/>
    </row>
    <row r="308" spans="1:27" ht="11.85" customHeight="1" x14ac:dyDescent="0.2">
      <c r="A308" s="3" t="s">
        <v>229</v>
      </c>
      <c r="C308" s="2">
        <v>1500</v>
      </c>
      <c r="E308" s="2">
        <v>0</v>
      </c>
      <c r="G308" s="2">
        <v>137.69999999999999</v>
      </c>
      <c r="I308" s="2">
        <v>0</v>
      </c>
      <c r="K308" s="2">
        <v>0</v>
      </c>
      <c r="L308" s="9"/>
      <c r="M308" s="2">
        <v>0</v>
      </c>
      <c r="N308" s="9"/>
      <c r="O308" s="2">
        <v>0</v>
      </c>
      <c r="P308" s="9"/>
      <c r="Q308" s="2">
        <f>M308+O308</f>
        <v>0</v>
      </c>
    </row>
    <row r="309" spans="1:27" ht="11.85" customHeight="1" x14ac:dyDescent="0.2">
      <c r="A309" s="3" t="s">
        <v>230</v>
      </c>
      <c r="C309" s="2">
        <v>0</v>
      </c>
      <c r="E309" s="2">
        <v>0</v>
      </c>
      <c r="G309" s="2">
        <v>0</v>
      </c>
      <c r="I309" s="2">
        <v>0</v>
      </c>
      <c r="K309" s="2">
        <v>0</v>
      </c>
      <c r="L309" s="9"/>
      <c r="M309" s="2">
        <v>0</v>
      </c>
      <c r="N309" s="9"/>
      <c r="O309" s="2">
        <v>0</v>
      </c>
      <c r="P309" s="9"/>
      <c r="Q309" s="2">
        <f>M309+O309</f>
        <v>0</v>
      </c>
    </row>
    <row r="310" spans="1:27" ht="9" customHeight="1" x14ac:dyDescent="0.2"/>
    <row r="311" spans="1:27" ht="9.75" customHeight="1" x14ac:dyDescent="0.2">
      <c r="A311" s="3" t="s">
        <v>231</v>
      </c>
      <c r="C311" s="2">
        <v>0</v>
      </c>
      <c r="E311" s="2">
        <v>0</v>
      </c>
      <c r="G311" s="2">
        <v>1264394.75</v>
      </c>
      <c r="I311" s="2">
        <v>0</v>
      </c>
      <c r="K311" s="2">
        <v>0</v>
      </c>
      <c r="M311" s="2">
        <v>0</v>
      </c>
      <c r="O311" s="2">
        <v>0</v>
      </c>
      <c r="Q311" s="2">
        <f>+M311+O311</f>
        <v>0</v>
      </c>
    </row>
    <row r="312" spans="1:27" ht="11.85" customHeight="1" x14ac:dyDescent="0.2">
      <c r="A312" s="3" t="s">
        <v>232</v>
      </c>
      <c r="C312" s="2">
        <v>605.01</v>
      </c>
      <c r="E312" s="2">
        <v>0</v>
      </c>
      <c r="G312" s="2">
        <v>0</v>
      </c>
      <c r="I312" s="2">
        <v>0</v>
      </c>
      <c r="K312" s="2">
        <v>0</v>
      </c>
      <c r="L312" s="9"/>
      <c r="M312" s="2">
        <v>0</v>
      </c>
      <c r="N312" s="9"/>
      <c r="O312" s="2">
        <v>0</v>
      </c>
      <c r="P312" s="9"/>
      <c r="Q312" s="2">
        <f>+M312+O312</f>
        <v>0</v>
      </c>
    </row>
    <row r="313" spans="1:27" ht="11.85" customHeight="1" x14ac:dyDescent="0.2">
      <c r="A313" s="3" t="s">
        <v>233</v>
      </c>
      <c r="C313" s="2">
        <v>5100</v>
      </c>
      <c r="E313" s="2">
        <v>0</v>
      </c>
      <c r="G313" s="2">
        <v>504</v>
      </c>
      <c r="I313" s="2">
        <v>0</v>
      </c>
      <c r="K313" s="2">
        <v>0</v>
      </c>
      <c r="L313" s="9"/>
      <c r="M313" s="2">
        <v>0</v>
      </c>
      <c r="N313" s="9"/>
      <c r="O313" s="2">
        <v>0</v>
      </c>
      <c r="P313" s="9"/>
      <c r="Q313" s="2">
        <f>M313+O313</f>
        <v>0</v>
      </c>
    </row>
    <row r="314" spans="1:27" ht="11.85" customHeight="1" x14ac:dyDescent="0.2">
      <c r="A314" s="3" t="s">
        <v>234</v>
      </c>
      <c r="C314" s="2">
        <v>0</v>
      </c>
      <c r="E314" s="2">
        <v>0</v>
      </c>
      <c r="G314" s="2">
        <v>633.88</v>
      </c>
      <c r="I314" s="2">
        <v>0</v>
      </c>
      <c r="K314" s="2">
        <v>0</v>
      </c>
      <c r="L314" s="9"/>
      <c r="M314" s="2">
        <v>0</v>
      </c>
      <c r="N314" s="9"/>
      <c r="O314" s="2">
        <v>0</v>
      </c>
      <c r="P314" s="9"/>
      <c r="Q314" s="2">
        <f t="shared" ref="Q314:Q324" si="14">M314+O314</f>
        <v>0</v>
      </c>
    </row>
    <row r="315" spans="1:27" ht="11.85" customHeight="1" x14ac:dyDescent="0.2">
      <c r="A315" s="3" t="s">
        <v>235</v>
      </c>
      <c r="C315" s="2">
        <v>750</v>
      </c>
      <c r="E315" s="2">
        <v>0</v>
      </c>
      <c r="G315" s="2">
        <v>0</v>
      </c>
      <c r="I315" s="2">
        <v>0</v>
      </c>
      <c r="K315" s="2">
        <v>0</v>
      </c>
      <c r="L315" s="9"/>
      <c r="M315" s="2">
        <v>0</v>
      </c>
      <c r="N315" s="9"/>
      <c r="O315" s="2">
        <v>0</v>
      </c>
      <c r="P315" s="9"/>
      <c r="Q315" s="2">
        <f t="shared" si="14"/>
        <v>0</v>
      </c>
    </row>
    <row r="316" spans="1:27" ht="11.85" customHeight="1" x14ac:dyDescent="0.2">
      <c r="A316" s="3" t="s">
        <v>236</v>
      </c>
      <c r="C316" s="2">
        <v>5577</v>
      </c>
      <c r="E316" s="2">
        <v>28500</v>
      </c>
      <c r="G316" s="2">
        <v>2475</v>
      </c>
      <c r="I316" s="2">
        <v>0</v>
      </c>
      <c r="K316" s="2">
        <v>9500</v>
      </c>
      <c r="L316" s="9"/>
      <c r="M316" s="2">
        <v>25000</v>
      </c>
      <c r="N316" s="9"/>
      <c r="O316" s="2">
        <v>0</v>
      </c>
      <c r="P316" s="9"/>
      <c r="Q316" s="2">
        <f>M316+O316</f>
        <v>25000</v>
      </c>
    </row>
    <row r="317" spans="1:27" ht="11.85" customHeight="1" x14ac:dyDescent="0.2">
      <c r="A317" s="3" t="s">
        <v>237</v>
      </c>
      <c r="C317" s="2">
        <v>2853.48</v>
      </c>
      <c r="E317" s="2">
        <v>5500</v>
      </c>
      <c r="G317" s="2">
        <v>0</v>
      </c>
      <c r="I317" s="2">
        <v>0</v>
      </c>
      <c r="K317" s="2">
        <v>0</v>
      </c>
      <c r="L317" s="9"/>
      <c r="M317" s="2">
        <v>0</v>
      </c>
      <c r="N317" s="9"/>
      <c r="O317" s="2">
        <v>0</v>
      </c>
      <c r="P317" s="9"/>
      <c r="Q317" s="2">
        <f t="shared" si="14"/>
        <v>0</v>
      </c>
      <c r="W317" s="9"/>
    </row>
    <row r="318" spans="1:27" ht="11.85" customHeight="1" x14ac:dyDescent="0.2">
      <c r="A318" s="3" t="s">
        <v>238</v>
      </c>
      <c r="C318" s="2">
        <v>107.5</v>
      </c>
      <c r="E318" s="2">
        <v>0</v>
      </c>
      <c r="G318" s="2">
        <v>0</v>
      </c>
      <c r="I318" s="2">
        <v>0</v>
      </c>
      <c r="K318" s="2">
        <v>0</v>
      </c>
      <c r="L318" s="9"/>
      <c r="M318" s="2">
        <v>0</v>
      </c>
      <c r="N318" s="9"/>
      <c r="O318" s="2">
        <v>0</v>
      </c>
      <c r="P318" s="9"/>
      <c r="Q318" s="2">
        <f t="shared" si="14"/>
        <v>0</v>
      </c>
      <c r="AA318" s="9"/>
    </row>
    <row r="319" spans="1:27" ht="11.85" hidden="1" customHeight="1" x14ac:dyDescent="0.2">
      <c r="A319" s="3" t="s">
        <v>239</v>
      </c>
      <c r="C319" s="2">
        <v>0</v>
      </c>
      <c r="E319" s="2">
        <v>0</v>
      </c>
      <c r="G319" s="2">
        <v>0</v>
      </c>
      <c r="I319" s="2">
        <v>0</v>
      </c>
      <c r="K319" s="2">
        <v>0</v>
      </c>
      <c r="L319" s="9"/>
      <c r="M319" s="2">
        <v>0</v>
      </c>
      <c r="N319" s="9"/>
      <c r="O319" s="2">
        <v>0</v>
      </c>
      <c r="P319" s="9"/>
      <c r="Q319" s="2">
        <f t="shared" si="14"/>
        <v>0</v>
      </c>
    </row>
    <row r="320" spans="1:27" ht="11.85" customHeight="1" x14ac:dyDescent="0.2">
      <c r="A320" s="3" t="s">
        <v>240</v>
      </c>
      <c r="C320" s="2">
        <v>0</v>
      </c>
      <c r="E320" s="2">
        <v>0</v>
      </c>
      <c r="G320" s="2">
        <v>0</v>
      </c>
      <c r="I320" s="2">
        <v>0</v>
      </c>
      <c r="K320" s="2">
        <v>30000</v>
      </c>
      <c r="L320" s="9"/>
      <c r="M320" s="2">
        <v>0</v>
      </c>
      <c r="N320" s="9"/>
      <c r="O320" s="2">
        <v>0</v>
      </c>
      <c r="P320" s="9"/>
      <c r="Q320" s="2">
        <f t="shared" si="14"/>
        <v>0</v>
      </c>
    </row>
    <row r="321" spans="1:31" ht="11.85" hidden="1" customHeight="1" x14ac:dyDescent="0.2">
      <c r="L321" s="9"/>
      <c r="N321" s="9"/>
      <c r="P321" s="9"/>
      <c r="Q321" s="2">
        <f t="shared" si="14"/>
        <v>0</v>
      </c>
    </row>
    <row r="322" spans="1:31" ht="11.85" hidden="1" customHeight="1" x14ac:dyDescent="0.2">
      <c r="L322" s="9"/>
      <c r="N322" s="9"/>
      <c r="P322" s="9"/>
      <c r="Q322" s="2">
        <f t="shared" si="14"/>
        <v>0</v>
      </c>
    </row>
    <row r="323" spans="1:31" ht="11.85" hidden="1" customHeight="1" x14ac:dyDescent="0.2">
      <c r="L323" s="9"/>
      <c r="N323" s="9"/>
      <c r="P323" s="9"/>
      <c r="Q323" s="2">
        <f t="shared" si="14"/>
        <v>0</v>
      </c>
    </row>
    <row r="324" spans="1:31" ht="11.85" customHeight="1" x14ac:dyDescent="0.2">
      <c r="A324" s="3" t="s">
        <v>241</v>
      </c>
      <c r="C324" s="12">
        <v>66821</v>
      </c>
      <c r="E324" s="12">
        <v>0</v>
      </c>
      <c r="G324" s="12">
        <v>2108</v>
      </c>
      <c r="I324" s="12">
        <v>0</v>
      </c>
      <c r="K324" s="12">
        <v>72000</v>
      </c>
      <c r="L324" s="9"/>
      <c r="M324" s="12">
        <v>0</v>
      </c>
      <c r="N324" s="9"/>
      <c r="O324" s="12">
        <v>0</v>
      </c>
      <c r="P324" s="9"/>
      <c r="Q324" s="12">
        <f t="shared" si="14"/>
        <v>0</v>
      </c>
    </row>
    <row r="325" spans="1:31" ht="11.85" hidden="1" customHeight="1" x14ac:dyDescent="0.2">
      <c r="A325" s="3" t="s">
        <v>242</v>
      </c>
      <c r="C325" s="2">
        <v>0</v>
      </c>
      <c r="E325" s="2">
        <v>0</v>
      </c>
      <c r="G325" s="2">
        <v>0</v>
      </c>
      <c r="I325" s="2">
        <v>0</v>
      </c>
      <c r="K325" s="2">
        <v>0</v>
      </c>
      <c r="L325" s="9"/>
      <c r="M325" s="2">
        <v>0</v>
      </c>
      <c r="N325" s="9"/>
      <c r="O325" s="2">
        <v>0</v>
      </c>
      <c r="P325" s="9"/>
      <c r="Q325" s="2">
        <v>0</v>
      </c>
    </row>
    <row r="326" spans="1:31" ht="11.85" customHeight="1" x14ac:dyDescent="0.2">
      <c r="A326" s="3" t="s">
        <v>243</v>
      </c>
      <c r="C326" s="2">
        <f>SUM(C223:C267)+SUM(C269:C324)</f>
        <v>255376.38</v>
      </c>
      <c r="E326" s="2">
        <f>SUM(E223:E267)+SUM(E269:E324)</f>
        <v>159464.84999999998</v>
      </c>
      <c r="G326" s="2">
        <f>SUM(G223:G267)+SUM(G269:G324)</f>
        <v>1380481.63</v>
      </c>
      <c r="I326" s="2">
        <f>SUM(I223:I267)+SUM(I269:I324)</f>
        <v>69480</v>
      </c>
      <c r="K326" s="2">
        <f>SUM(K223:K267)+SUM(K269:K324)</f>
        <v>184480</v>
      </c>
      <c r="L326" s="9"/>
      <c r="M326" s="2">
        <f>SUM(M223:M267)+SUM(M269:M324)</f>
        <v>97980</v>
      </c>
      <c r="N326" s="9"/>
      <c r="O326" s="2">
        <f>SUM(O223:O267)+SUM(O269:O324)</f>
        <v>0</v>
      </c>
      <c r="P326" s="9"/>
      <c r="Q326" s="2">
        <f>SUM(Q223:Q267)+SUM(Q269:Q324)</f>
        <v>97980</v>
      </c>
      <c r="U326" s="9"/>
      <c r="AA326" s="22"/>
    </row>
    <row r="327" spans="1:31" ht="10.5" customHeight="1" x14ac:dyDescent="0.2">
      <c r="L327" s="9"/>
      <c r="N327" s="9"/>
      <c r="P327" s="9"/>
    </row>
    <row r="328" spans="1:31" ht="11.85" customHeight="1" x14ac:dyDescent="0.2">
      <c r="A328" s="10" t="s">
        <v>244</v>
      </c>
      <c r="L328" s="9"/>
      <c r="N328" s="9"/>
      <c r="P328" s="9"/>
    </row>
    <row r="329" spans="1:31" ht="11.85" hidden="1" customHeight="1" x14ac:dyDescent="0.2">
      <c r="A329" s="3" t="s">
        <v>245</v>
      </c>
      <c r="C329" s="2">
        <v>0</v>
      </c>
      <c r="E329" s="2">
        <v>0</v>
      </c>
      <c r="G329" s="2">
        <v>0</v>
      </c>
      <c r="I329" s="2">
        <v>0</v>
      </c>
      <c r="K329" s="2">
        <v>0</v>
      </c>
      <c r="L329" s="9"/>
      <c r="M329" s="2">
        <v>0</v>
      </c>
      <c r="N329" s="9"/>
      <c r="O329" s="2">
        <v>0</v>
      </c>
      <c r="P329" s="9"/>
      <c r="Q329" s="2">
        <v>0</v>
      </c>
    </row>
    <row r="330" spans="1:31" ht="11.85" customHeight="1" x14ac:dyDescent="0.2">
      <c r="A330" s="3" t="s">
        <v>246</v>
      </c>
      <c r="C330" s="2">
        <v>79000</v>
      </c>
      <c r="E330" s="2">
        <v>15395</v>
      </c>
      <c r="G330" s="2">
        <v>0</v>
      </c>
      <c r="I330" s="2">
        <v>0</v>
      </c>
      <c r="K330" s="2">
        <v>0</v>
      </c>
      <c r="L330" s="9"/>
      <c r="N330" s="9"/>
      <c r="O330" s="2">
        <v>0</v>
      </c>
      <c r="P330" s="9"/>
      <c r="Q330" s="2">
        <f t="shared" ref="Q330:Q341" si="15">M330+O330</f>
        <v>0</v>
      </c>
      <c r="V330" s="17"/>
    </row>
    <row r="331" spans="1:31" ht="11.85" customHeight="1" x14ac:dyDescent="0.2">
      <c r="A331" s="3" t="s">
        <v>247</v>
      </c>
      <c r="C331" s="2">
        <v>25000</v>
      </c>
      <c r="E331" s="2">
        <v>44577</v>
      </c>
      <c r="G331" s="2">
        <v>84903.3</v>
      </c>
      <c r="I331" s="2">
        <v>0</v>
      </c>
      <c r="K331" s="2">
        <v>0</v>
      </c>
      <c r="L331" s="9"/>
      <c r="M331" s="2">
        <v>18600</v>
      </c>
      <c r="N331" s="9"/>
      <c r="O331" s="2">
        <v>0</v>
      </c>
      <c r="P331" s="9"/>
      <c r="Q331" s="2">
        <f t="shared" si="15"/>
        <v>18600</v>
      </c>
      <c r="W331" s="9"/>
    </row>
    <row r="332" spans="1:31" ht="11.85" customHeight="1" x14ac:dyDescent="0.2">
      <c r="A332" s="3" t="s">
        <v>248</v>
      </c>
      <c r="C332" s="2">
        <v>0</v>
      </c>
      <c r="E332" s="2">
        <v>0</v>
      </c>
      <c r="G332" s="2">
        <v>0</v>
      </c>
      <c r="I332" s="2">
        <v>0</v>
      </c>
      <c r="K332" s="2">
        <v>0</v>
      </c>
      <c r="L332" s="9"/>
      <c r="M332" s="2">
        <v>0</v>
      </c>
      <c r="N332" s="9"/>
      <c r="O332" s="2">
        <v>0</v>
      </c>
      <c r="P332" s="9"/>
      <c r="Q332" s="2">
        <f t="shared" si="15"/>
        <v>0</v>
      </c>
      <c r="X332" s="9"/>
    </row>
    <row r="333" spans="1:31" ht="11.85" customHeight="1" x14ac:dyDescent="0.2">
      <c r="A333" s="3" t="s">
        <v>249</v>
      </c>
      <c r="C333" s="2">
        <v>0</v>
      </c>
      <c r="E333" s="2">
        <v>43901.43</v>
      </c>
      <c r="G333" s="2">
        <v>46625.279999999999</v>
      </c>
      <c r="I333" s="2">
        <v>0</v>
      </c>
      <c r="K333" s="2">
        <v>0</v>
      </c>
      <c r="L333" s="9"/>
      <c r="M333" s="2">
        <v>52000</v>
      </c>
      <c r="N333" s="9"/>
      <c r="O333" s="2">
        <v>0</v>
      </c>
      <c r="P333" s="9"/>
      <c r="Q333" s="2">
        <f t="shared" si="15"/>
        <v>52000</v>
      </c>
      <c r="Z333" s="9"/>
    </row>
    <row r="334" spans="1:31" ht="11.85" customHeight="1" x14ac:dyDescent="0.2">
      <c r="A334" s="3" t="s">
        <v>250</v>
      </c>
      <c r="C334" s="2">
        <v>0</v>
      </c>
      <c r="E334" s="2">
        <v>219722.16</v>
      </c>
      <c r="G334" s="2">
        <v>139780</v>
      </c>
      <c r="I334" s="2">
        <v>0</v>
      </c>
      <c r="K334" s="2">
        <v>24300</v>
      </c>
      <c r="L334" s="9"/>
      <c r="M334" s="2">
        <v>100000</v>
      </c>
      <c r="N334" s="9"/>
      <c r="O334" s="2">
        <v>0</v>
      </c>
      <c r="P334" s="9"/>
      <c r="Q334" s="2">
        <f t="shared" si="15"/>
        <v>100000</v>
      </c>
      <c r="AA334" s="9"/>
    </row>
    <row r="335" spans="1:31" ht="11.85" customHeight="1" x14ac:dyDescent="0.2">
      <c r="A335" s="3" t="s">
        <v>251</v>
      </c>
      <c r="C335" s="2">
        <v>0</v>
      </c>
      <c r="E335" s="2">
        <v>61500</v>
      </c>
      <c r="G335" s="2">
        <v>199200</v>
      </c>
      <c r="I335" s="2">
        <v>0</v>
      </c>
      <c r="K335" s="2">
        <v>0</v>
      </c>
      <c r="L335" s="9"/>
      <c r="M335" s="2">
        <v>250000</v>
      </c>
      <c r="N335" s="9"/>
      <c r="O335" s="2">
        <v>360000</v>
      </c>
      <c r="P335" s="9"/>
      <c r="Q335" s="2">
        <f t="shared" si="15"/>
        <v>610000</v>
      </c>
      <c r="AE335" s="9"/>
    </row>
    <row r="336" spans="1:31" ht="11.85" hidden="1" customHeight="1" x14ac:dyDescent="0.2">
      <c r="A336" s="3" t="s">
        <v>252</v>
      </c>
      <c r="C336" s="2">
        <v>0</v>
      </c>
      <c r="E336" s="2">
        <v>0</v>
      </c>
      <c r="G336" s="2">
        <v>0</v>
      </c>
      <c r="I336" s="2">
        <v>0</v>
      </c>
      <c r="K336" s="2">
        <v>0</v>
      </c>
      <c r="L336" s="9"/>
      <c r="M336" s="2">
        <v>0</v>
      </c>
      <c r="N336" s="9"/>
      <c r="O336" s="2">
        <v>0</v>
      </c>
      <c r="P336" s="9"/>
      <c r="Q336" s="2">
        <f t="shared" si="15"/>
        <v>0</v>
      </c>
    </row>
    <row r="337" spans="1:31" ht="11.85" hidden="1" customHeight="1" x14ac:dyDescent="0.2">
      <c r="A337" s="3" t="s">
        <v>253</v>
      </c>
      <c r="C337" s="2">
        <v>0</v>
      </c>
      <c r="E337" s="2">
        <v>0</v>
      </c>
      <c r="G337" s="2">
        <v>0</v>
      </c>
      <c r="I337" s="2">
        <v>0</v>
      </c>
      <c r="K337" s="2">
        <v>0</v>
      </c>
      <c r="L337" s="9"/>
      <c r="M337" s="2">
        <v>0</v>
      </c>
      <c r="N337" s="9"/>
      <c r="O337" s="2">
        <v>0</v>
      </c>
      <c r="P337" s="9"/>
      <c r="Q337" s="2">
        <f t="shared" si="15"/>
        <v>0</v>
      </c>
    </row>
    <row r="338" spans="1:31" ht="11.85" hidden="1" customHeight="1" x14ac:dyDescent="0.2">
      <c r="A338" s="3" t="s">
        <v>254</v>
      </c>
      <c r="C338" s="2">
        <v>0</v>
      </c>
      <c r="E338" s="2">
        <v>0</v>
      </c>
      <c r="G338" s="2">
        <v>0</v>
      </c>
      <c r="I338" s="2">
        <v>0</v>
      </c>
      <c r="K338" s="2">
        <v>0</v>
      </c>
      <c r="L338" s="9"/>
      <c r="M338" s="2">
        <v>0</v>
      </c>
      <c r="N338" s="9"/>
      <c r="O338" s="2">
        <v>0</v>
      </c>
      <c r="P338" s="9"/>
      <c r="Q338" s="2">
        <f t="shared" si="15"/>
        <v>0</v>
      </c>
    </row>
    <row r="339" spans="1:31" ht="11.85" customHeight="1" x14ac:dyDescent="0.2">
      <c r="A339" s="3" t="s">
        <v>255</v>
      </c>
      <c r="C339" s="2">
        <v>0</v>
      </c>
      <c r="E339" s="2">
        <v>219364.99</v>
      </c>
      <c r="G339" s="2">
        <v>0</v>
      </c>
      <c r="I339" s="2">
        <v>0</v>
      </c>
      <c r="K339" s="2">
        <v>0</v>
      </c>
      <c r="L339" s="9"/>
      <c r="M339" s="2">
        <v>0</v>
      </c>
      <c r="N339" s="9"/>
      <c r="O339" s="2">
        <v>44000</v>
      </c>
      <c r="P339" s="9"/>
      <c r="Q339" s="2">
        <f t="shared" si="15"/>
        <v>44000</v>
      </c>
    </row>
    <row r="340" spans="1:31" ht="11.85" customHeight="1" x14ac:dyDescent="0.2">
      <c r="A340" s="3" t="s">
        <v>256</v>
      </c>
      <c r="C340" s="2">
        <v>0</v>
      </c>
      <c r="E340" s="2">
        <v>0</v>
      </c>
      <c r="G340" s="2">
        <v>18112.75</v>
      </c>
      <c r="I340" s="2">
        <v>0</v>
      </c>
      <c r="K340" s="2">
        <v>0</v>
      </c>
      <c r="L340" s="9"/>
      <c r="M340" s="2">
        <v>0</v>
      </c>
      <c r="N340" s="9"/>
      <c r="O340" s="2">
        <v>0</v>
      </c>
      <c r="P340" s="9"/>
      <c r="Q340" s="2">
        <f t="shared" si="15"/>
        <v>0</v>
      </c>
    </row>
    <row r="341" spans="1:31" ht="11.85" customHeight="1" x14ac:dyDescent="0.2">
      <c r="A341" s="3" t="s">
        <v>257</v>
      </c>
      <c r="C341" s="12">
        <v>0</v>
      </c>
      <c r="E341" s="12">
        <v>0</v>
      </c>
      <c r="G341" s="12">
        <v>0</v>
      </c>
      <c r="I341" s="12">
        <v>0</v>
      </c>
      <c r="K341" s="12">
        <v>0</v>
      </c>
      <c r="L341" s="9"/>
      <c r="M341" s="12">
        <v>0</v>
      </c>
      <c r="N341" s="9"/>
      <c r="O341" s="12">
        <v>0</v>
      </c>
      <c r="P341" s="9"/>
      <c r="Q341" s="12">
        <f t="shared" si="15"/>
        <v>0</v>
      </c>
    </row>
    <row r="342" spans="1:31" ht="11.85" customHeight="1" x14ac:dyDescent="0.2">
      <c r="A342" s="3" t="s">
        <v>258</v>
      </c>
      <c r="C342" s="2">
        <f>SUM(C329:C341)</f>
        <v>104000</v>
      </c>
      <c r="E342" s="2">
        <f>SUM(E329:E341)</f>
        <v>604460.57999999996</v>
      </c>
      <c r="G342" s="2">
        <f>SUM(G329:G341)</f>
        <v>488621.33</v>
      </c>
      <c r="I342" s="2">
        <f>SUM(I329:I341)</f>
        <v>0</v>
      </c>
      <c r="K342" s="2">
        <f>SUM(K329:K341)</f>
        <v>24300</v>
      </c>
      <c r="L342" s="9"/>
      <c r="M342" s="2">
        <f>SUM(M329:M341)</f>
        <v>420600</v>
      </c>
      <c r="N342" s="9"/>
      <c r="O342" s="2">
        <f>SUM(O329:O341)</f>
        <v>404000</v>
      </c>
      <c r="P342" s="9"/>
      <c r="Q342" s="2">
        <f>SUM(Q329:Q341)</f>
        <v>824600</v>
      </c>
      <c r="R342" s="9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</row>
    <row r="343" spans="1:31" ht="11.85" customHeight="1" x14ac:dyDescent="0.2">
      <c r="L343" s="9"/>
      <c r="N343" s="9"/>
      <c r="P343" s="9"/>
    </row>
    <row r="344" spans="1:31" ht="11.85" customHeight="1" x14ac:dyDescent="0.2">
      <c r="A344" s="10" t="s">
        <v>259</v>
      </c>
      <c r="L344" s="9"/>
      <c r="N344" s="9"/>
      <c r="P344" s="9"/>
      <c r="V344" s="24"/>
    </row>
    <row r="345" spans="1:31" ht="11.85" hidden="1" customHeight="1" x14ac:dyDescent="0.2">
      <c r="A345" s="3" t="s">
        <v>260</v>
      </c>
      <c r="C345" s="2">
        <v>0</v>
      </c>
      <c r="E345" s="2">
        <v>0</v>
      </c>
      <c r="G345" s="2">
        <v>0</v>
      </c>
      <c r="I345" s="2">
        <v>0</v>
      </c>
      <c r="K345" s="2">
        <v>0</v>
      </c>
      <c r="L345" s="9"/>
      <c r="M345" s="2">
        <v>0</v>
      </c>
      <c r="N345" s="9"/>
      <c r="O345" s="2">
        <v>0</v>
      </c>
      <c r="P345" s="9"/>
      <c r="Q345" s="2">
        <f t="shared" ref="Q345:Q353" si="16">M345+O345</f>
        <v>0</v>
      </c>
    </row>
    <row r="346" spans="1:31" ht="11.85" customHeight="1" x14ac:dyDescent="0.2">
      <c r="A346" s="3" t="s">
        <v>261</v>
      </c>
      <c r="C346" s="2">
        <v>2844996</v>
      </c>
      <c r="E346" s="2">
        <v>2000004</v>
      </c>
      <c r="G346" s="2">
        <v>2634996</v>
      </c>
      <c r="I346" s="2">
        <v>2480000</v>
      </c>
      <c r="K346" s="2">
        <v>2480000</v>
      </c>
      <c r="L346" s="9"/>
      <c r="M346" s="2">
        <v>2130000</v>
      </c>
      <c r="N346" s="9"/>
      <c r="O346" s="2">
        <v>613000</v>
      </c>
      <c r="P346" s="9"/>
      <c r="Q346" s="2">
        <f>M346+O346</f>
        <v>2743000</v>
      </c>
    </row>
    <row r="347" spans="1:31" ht="11.85" hidden="1" customHeight="1" x14ac:dyDescent="0.2">
      <c r="A347" s="3" t="s">
        <v>262</v>
      </c>
      <c r="C347" s="2">
        <v>0</v>
      </c>
      <c r="E347" s="2">
        <v>0</v>
      </c>
      <c r="G347" s="2">
        <v>0</v>
      </c>
      <c r="I347" s="2">
        <v>0</v>
      </c>
      <c r="K347" s="2">
        <v>0</v>
      </c>
      <c r="L347" s="9"/>
      <c r="M347" s="2">
        <v>0</v>
      </c>
      <c r="N347" s="9"/>
      <c r="O347" s="2">
        <v>0</v>
      </c>
      <c r="P347" s="9"/>
      <c r="Q347" s="2">
        <f t="shared" si="16"/>
        <v>0</v>
      </c>
      <c r="W347" s="9"/>
    </row>
    <row r="348" spans="1:31" ht="11.85" hidden="1" customHeight="1" x14ac:dyDescent="0.2">
      <c r="A348" s="3" t="s">
        <v>263</v>
      </c>
      <c r="C348" s="2">
        <v>0</v>
      </c>
      <c r="E348" s="2">
        <v>0</v>
      </c>
      <c r="G348" s="2">
        <v>0</v>
      </c>
      <c r="I348" s="2">
        <v>0</v>
      </c>
      <c r="K348" s="2">
        <v>0</v>
      </c>
      <c r="L348" s="9"/>
      <c r="M348" s="2">
        <v>0</v>
      </c>
      <c r="N348" s="9"/>
      <c r="O348" s="2">
        <v>0</v>
      </c>
      <c r="P348" s="9"/>
      <c r="Q348" s="2">
        <f t="shared" si="16"/>
        <v>0</v>
      </c>
    </row>
    <row r="349" spans="1:31" ht="11.85" hidden="1" customHeight="1" x14ac:dyDescent="0.2">
      <c r="A349" s="3" t="s">
        <v>264</v>
      </c>
      <c r="C349" s="2">
        <v>0</v>
      </c>
      <c r="E349" s="2">
        <v>0</v>
      </c>
      <c r="G349" s="2">
        <v>0</v>
      </c>
      <c r="I349" s="2">
        <v>0</v>
      </c>
      <c r="K349" s="2">
        <v>0</v>
      </c>
      <c r="L349" s="9"/>
      <c r="M349" s="2">
        <v>0</v>
      </c>
      <c r="N349" s="9"/>
      <c r="O349" s="2">
        <v>0</v>
      </c>
      <c r="P349" s="9"/>
      <c r="Q349" s="2">
        <f t="shared" si="16"/>
        <v>0</v>
      </c>
    </row>
    <row r="350" spans="1:31" ht="11.85" hidden="1" customHeight="1" x14ac:dyDescent="0.2">
      <c r="A350" s="3" t="s">
        <v>265</v>
      </c>
      <c r="C350" s="2">
        <v>0</v>
      </c>
      <c r="E350" s="2">
        <v>0</v>
      </c>
      <c r="G350" s="2">
        <v>0</v>
      </c>
      <c r="I350" s="2">
        <v>0</v>
      </c>
      <c r="K350" s="2">
        <v>0</v>
      </c>
      <c r="L350" s="9"/>
      <c r="M350" s="2">
        <v>0</v>
      </c>
      <c r="N350" s="9"/>
      <c r="O350" s="2">
        <v>0</v>
      </c>
      <c r="P350" s="9"/>
      <c r="Q350" s="2">
        <f t="shared" si="16"/>
        <v>0</v>
      </c>
    </row>
    <row r="351" spans="1:31" ht="11.85" hidden="1" customHeight="1" x14ac:dyDescent="0.2">
      <c r="A351" s="3" t="s">
        <v>266</v>
      </c>
      <c r="C351" s="2">
        <v>0</v>
      </c>
      <c r="E351" s="2">
        <v>0</v>
      </c>
      <c r="G351" s="2">
        <v>0</v>
      </c>
      <c r="I351" s="2">
        <v>0</v>
      </c>
      <c r="K351" s="2">
        <v>0</v>
      </c>
      <c r="L351" s="9"/>
      <c r="M351" s="2">
        <v>0</v>
      </c>
      <c r="N351" s="9"/>
      <c r="O351" s="2">
        <v>0</v>
      </c>
      <c r="P351" s="9"/>
      <c r="Q351" s="2">
        <f>M351+O351</f>
        <v>0</v>
      </c>
      <c r="R351" s="9"/>
    </row>
    <row r="352" spans="1:31" ht="11.85" customHeight="1" x14ac:dyDescent="0.15">
      <c r="A352" s="3" t="s">
        <v>267</v>
      </c>
      <c r="C352" s="12">
        <v>0</v>
      </c>
      <c r="E352" s="12">
        <v>0</v>
      </c>
      <c r="G352" s="12">
        <v>0</v>
      </c>
      <c r="I352" s="12">
        <v>14000</v>
      </c>
      <c r="K352" s="12">
        <v>14000</v>
      </c>
      <c r="L352" s="9"/>
      <c r="M352" s="12">
        <v>65000</v>
      </c>
      <c r="N352" s="9"/>
      <c r="O352" s="12">
        <v>0</v>
      </c>
      <c r="P352" s="9"/>
      <c r="Q352" s="12">
        <f>M352+O352</f>
        <v>65000</v>
      </c>
      <c r="R352" s="9"/>
      <c r="T352" s="18"/>
    </row>
    <row r="353" spans="1:23" ht="11.85" hidden="1" customHeight="1" x14ac:dyDescent="0.2">
      <c r="A353" s="3" t="s">
        <v>268</v>
      </c>
      <c r="C353" s="12">
        <v>0</v>
      </c>
      <c r="E353" s="12">
        <v>0</v>
      </c>
      <c r="G353" s="12">
        <v>0</v>
      </c>
      <c r="I353" s="12">
        <v>0</v>
      </c>
      <c r="K353" s="12">
        <v>0</v>
      </c>
      <c r="L353" s="9"/>
      <c r="M353" s="12">
        <v>0</v>
      </c>
      <c r="N353" s="9"/>
      <c r="O353" s="12">
        <v>0</v>
      </c>
      <c r="P353" s="9"/>
      <c r="Q353" s="12">
        <f t="shared" si="16"/>
        <v>0</v>
      </c>
      <c r="R353" s="9"/>
    </row>
    <row r="354" spans="1:23" ht="11.85" customHeight="1" x14ac:dyDescent="0.2">
      <c r="A354" s="3" t="s">
        <v>269</v>
      </c>
      <c r="C354" s="2">
        <f>SUM(C345:C353)</f>
        <v>2844996</v>
      </c>
      <c r="E354" s="2">
        <f>SUM(E345:E353)</f>
        <v>2000004</v>
      </c>
      <c r="G354" s="2">
        <f>SUM(G345:G353)</f>
        <v>2634996</v>
      </c>
      <c r="I354" s="2">
        <f>SUM(I345:I353)</f>
        <v>2494000</v>
      </c>
      <c r="K354" s="2">
        <f>SUM(K345:K353)</f>
        <v>2494000</v>
      </c>
      <c r="L354" s="9"/>
      <c r="M354" s="2">
        <f>SUM(M345:M353)</f>
        <v>2195000</v>
      </c>
      <c r="N354" s="9"/>
      <c r="O354" s="2">
        <f>SUM(O345:O353)</f>
        <v>613000</v>
      </c>
      <c r="P354" s="9"/>
      <c r="Q354" s="2">
        <f>SUM(Q345:Q353)</f>
        <v>2808000</v>
      </c>
      <c r="U354" s="2"/>
    </row>
    <row r="355" spans="1:23" ht="11.85" customHeight="1" x14ac:dyDescent="0.2">
      <c r="L355" s="9"/>
      <c r="N355" s="9"/>
      <c r="P355" s="9"/>
    </row>
    <row r="356" spans="1:23" ht="11.85" customHeight="1" x14ac:dyDescent="0.2"/>
    <row r="357" spans="1:23" ht="11.85" customHeight="1" thickBot="1" x14ac:dyDescent="0.25">
      <c r="A357" s="3" t="s">
        <v>270</v>
      </c>
      <c r="C357" s="25">
        <f>C21+C28+C44+C68+C94+C108+C120+C135+C180+C191+C202+C326+C342+C354</f>
        <v>8132649.1100000003</v>
      </c>
      <c r="E357" s="25">
        <f>E21+E28+E44+E68+E94+E108+E120+E135+E180+E191+E202+E326+E342+E354</f>
        <v>7787043.6899999995</v>
      </c>
      <c r="G357" s="25">
        <f>G21+G28+G44+G68+G94+G108+G120+G135+G180+G191+G202+G326+G342+G354</f>
        <v>9935569.0999999996</v>
      </c>
      <c r="I357" s="25">
        <f>I21+I28+I44+I68+I94+I108+I120+I135+I180+I191+I202+I326+I342+I354</f>
        <v>7777958</v>
      </c>
      <c r="K357" s="25">
        <f>K21+K28+K44+K68+K94+K108+K120+K135+K180+K191+K202+K326+K342+K354</f>
        <v>8148370</v>
      </c>
      <c r="L357" s="9"/>
      <c r="M357" s="25">
        <f>M21+M28+M44+M68+M94+M108+M120+M135+M180+M191+M202+M326+M342+M354</f>
        <v>8162420</v>
      </c>
      <c r="N357" s="9"/>
      <c r="O357" s="25">
        <f>O21+O28+O44+O68+O94+O108+O120+O135+O180+O191+O202+O326+O342+O354</f>
        <v>1017000</v>
      </c>
      <c r="P357" s="9"/>
      <c r="Q357" s="25">
        <f>Q21+Q28+Q44+Q68+Q94+Q108+Q120+Q135+Q180+Q191+Q202+Q326+Q342+Q354</f>
        <v>9179420</v>
      </c>
      <c r="R357" s="9"/>
      <c r="T357" s="14"/>
      <c r="U357" s="2"/>
      <c r="V357" s="9"/>
      <c r="W357" s="9"/>
    </row>
    <row r="358" spans="1:23" ht="11.85" customHeight="1" thickTop="1" x14ac:dyDescent="0.2">
      <c r="L358" s="9"/>
      <c r="N358" s="9"/>
      <c r="P358" s="9"/>
      <c r="V358" s="9"/>
    </row>
    <row r="359" spans="1:23" ht="11.85" customHeight="1" x14ac:dyDescent="0.2">
      <c r="L359" s="9"/>
      <c r="N359" s="9"/>
      <c r="P359" s="9"/>
      <c r="W359" s="9"/>
    </row>
    <row r="360" spans="1:23" ht="11.85" customHeight="1" x14ac:dyDescent="0.2">
      <c r="A360" s="3" t="s">
        <v>271</v>
      </c>
      <c r="C360" s="2">
        <f>C11+C357</f>
        <v>12274276.710000001</v>
      </c>
      <c r="E360" s="2">
        <f>E11+E357</f>
        <v>12286014.040000003</v>
      </c>
      <c r="G360" s="2">
        <f>G11+G357</f>
        <v>13982020.280000001</v>
      </c>
      <c r="I360" s="2">
        <f>I11+I357</f>
        <v>12517586.560000002</v>
      </c>
      <c r="K360" s="2">
        <f>K11+K357</f>
        <v>12887998.560000002</v>
      </c>
      <c r="L360" s="9"/>
      <c r="M360" s="2">
        <f>M11+M357</f>
        <v>10756317.560000002</v>
      </c>
      <c r="N360" s="9"/>
      <c r="P360" s="9"/>
      <c r="Q360" s="2">
        <f>Q11+Q357</f>
        <v>11773317.560000002</v>
      </c>
      <c r="R360" s="9"/>
      <c r="V360" s="9"/>
    </row>
    <row r="361" spans="1:23" ht="11.85" customHeight="1" x14ac:dyDescent="0.2">
      <c r="L361" s="9"/>
      <c r="N361" s="9"/>
      <c r="P361" s="9"/>
    </row>
    <row r="362" spans="1:23" ht="11.85" customHeight="1" x14ac:dyDescent="0.2">
      <c r="L362" s="9"/>
      <c r="N362" s="9"/>
      <c r="P362" s="9"/>
    </row>
    <row r="363" spans="1:23" ht="11.85" customHeight="1" x14ac:dyDescent="0.2">
      <c r="L363" s="9"/>
      <c r="N363" s="9"/>
      <c r="P363" s="9"/>
    </row>
    <row r="364" spans="1:23" ht="11.85" customHeight="1" x14ac:dyDescent="0.2">
      <c r="L364" s="9"/>
      <c r="N364" s="9"/>
      <c r="P364" s="9"/>
    </row>
    <row r="365" spans="1:23" ht="11.85" customHeight="1" x14ac:dyDescent="0.2">
      <c r="L365" s="9"/>
      <c r="N365" s="9"/>
      <c r="P365" s="9"/>
    </row>
    <row r="366" spans="1:23" ht="11.85" customHeight="1" x14ac:dyDescent="0.2">
      <c r="L366" s="9"/>
      <c r="N366" s="9"/>
      <c r="P366" s="9"/>
    </row>
    <row r="367" spans="1:23" ht="11.85" customHeight="1" x14ac:dyDescent="0.2">
      <c r="L367" s="9"/>
      <c r="N367" s="9"/>
      <c r="P367" s="9"/>
    </row>
    <row r="368" spans="1:23" ht="11.85" customHeight="1" x14ac:dyDescent="0.2">
      <c r="L368" s="9"/>
      <c r="N368" s="9"/>
      <c r="P368" s="9"/>
    </row>
    <row r="369" spans="1:20" ht="11.85" customHeight="1" x14ac:dyDescent="0.2">
      <c r="L369" s="9"/>
      <c r="N369" s="9"/>
      <c r="P369" s="9"/>
    </row>
    <row r="370" spans="1:20" ht="11.85" customHeight="1" x14ac:dyDescent="0.2">
      <c r="L370" s="9"/>
      <c r="N370" s="9"/>
      <c r="P370" s="9"/>
    </row>
    <row r="371" spans="1:20" ht="11.85" customHeight="1" x14ac:dyDescent="0.2">
      <c r="L371" s="9"/>
      <c r="N371" s="9"/>
      <c r="P371" s="9"/>
    </row>
    <row r="372" spans="1:20" ht="11.85" customHeight="1" x14ac:dyDescent="0.2">
      <c r="L372" s="9"/>
      <c r="N372" s="9"/>
      <c r="P372" s="9"/>
    </row>
    <row r="373" spans="1:20" ht="11.85" customHeight="1" x14ac:dyDescent="0.2">
      <c r="A373" s="1"/>
      <c r="B373" s="1"/>
      <c r="E373" s="2" t="str">
        <f>$E$1</f>
        <v>CITY OF BRADY</v>
      </c>
    </row>
    <row r="374" spans="1:20" ht="11.85" customHeight="1" x14ac:dyDescent="0.2">
      <c r="E374" s="2" t="str">
        <f>$E$2</f>
        <v>BUDGET REPORT</v>
      </c>
    </row>
    <row r="375" spans="1:20" ht="11.85" customHeight="1" x14ac:dyDescent="0.2">
      <c r="E375" s="2" t="str">
        <f>$E$3</f>
        <v>FISCAL YEAR 2024 - 2025</v>
      </c>
    </row>
    <row r="376" spans="1:20" ht="11.85" customHeight="1" x14ac:dyDescent="0.2">
      <c r="A376" s="3" t="s">
        <v>3</v>
      </c>
    </row>
    <row r="377" spans="1:20" ht="11.85" customHeight="1" x14ac:dyDescent="0.2">
      <c r="A377" s="3" t="s">
        <v>272</v>
      </c>
    </row>
    <row r="378" spans="1:20" ht="11.85" customHeight="1" x14ac:dyDescent="0.2">
      <c r="I378" s="53" t="str">
        <f>+I6</f>
        <v>(----- 2023-2024------)</v>
      </c>
      <c r="J378" s="53"/>
      <c r="K378" s="53"/>
      <c r="L378" s="6"/>
      <c r="M378" s="54" t="str">
        <f>$M$6</f>
        <v>2024-2025</v>
      </c>
      <c r="N378" s="54"/>
      <c r="O378" s="54"/>
      <c r="P378" s="54"/>
      <c r="Q378" s="54"/>
    </row>
    <row r="379" spans="1:20" ht="11.85" customHeight="1" x14ac:dyDescent="0.2">
      <c r="C379" s="5" t="str">
        <f>$C$7</f>
        <v>2020-2021</v>
      </c>
      <c r="D379" s="5"/>
      <c r="E379" s="5" t="str">
        <f>$E$7</f>
        <v>2021-2022</v>
      </c>
      <c r="F379" s="5"/>
      <c r="G379" s="5" t="str">
        <f>$G$7</f>
        <v>2022-2023</v>
      </c>
      <c r="H379" s="5"/>
      <c r="I379" s="5" t="s">
        <v>9</v>
      </c>
      <c r="J379" s="5"/>
      <c r="K379" s="5" t="str">
        <f>+$K$7</f>
        <v>PROJECTED</v>
      </c>
      <c r="L379" s="6"/>
      <c r="M379" s="5">
        <f>$M$7</f>
        <v>0</v>
      </c>
      <c r="N379" s="6"/>
      <c r="O379" s="5" t="str">
        <f>$O$7</f>
        <v>2024-2025</v>
      </c>
      <c r="P379" s="6"/>
      <c r="Q379" s="5" t="str">
        <f>$Q$7</f>
        <v>APPROVED</v>
      </c>
    </row>
    <row r="380" spans="1:20" ht="11.85" customHeight="1" x14ac:dyDescent="0.2">
      <c r="A380" s="7" t="s">
        <v>273</v>
      </c>
      <c r="C380" s="8" t="s">
        <v>12</v>
      </c>
      <c r="D380" s="5"/>
      <c r="E380" s="8" t="s">
        <v>12</v>
      </c>
      <c r="F380" s="5"/>
      <c r="G380" s="8" t="s">
        <v>12</v>
      </c>
      <c r="H380" s="5"/>
      <c r="I380" s="8" t="s">
        <v>13</v>
      </c>
      <c r="J380" s="5"/>
      <c r="K380" s="8" t="s">
        <v>13</v>
      </c>
      <c r="L380" s="6"/>
      <c r="M380" s="8" t="str">
        <f>$M$8</f>
        <v>BASE</v>
      </c>
      <c r="N380" s="6"/>
      <c r="O380" s="8" t="str">
        <f>$O$8</f>
        <v>SUPPLEMENTAL</v>
      </c>
      <c r="P380" s="6"/>
      <c r="Q380" s="8" t="str">
        <f>$Q$8</f>
        <v>BUDGET</v>
      </c>
    </row>
    <row r="381" spans="1:20" ht="11.85" customHeight="1" x14ac:dyDescent="0.2"/>
    <row r="382" spans="1:20" ht="11.85" customHeight="1" x14ac:dyDescent="0.2">
      <c r="A382" s="10" t="s">
        <v>274</v>
      </c>
    </row>
    <row r="383" spans="1:20" ht="11.85" customHeight="1" x14ac:dyDescent="0.2">
      <c r="A383" s="3" t="s">
        <v>275</v>
      </c>
      <c r="C383" s="2">
        <v>252056.5</v>
      </c>
      <c r="E383" s="2">
        <v>261687.78</v>
      </c>
      <c r="G383" s="2">
        <v>241362.39</v>
      </c>
      <c r="I383" s="2">
        <v>242370</v>
      </c>
      <c r="K383" s="2">
        <v>267370</v>
      </c>
      <c r="L383" s="9"/>
      <c r="M383" s="2">
        <v>262386</v>
      </c>
      <c r="N383" s="9"/>
      <c r="O383" s="24">
        <v>0</v>
      </c>
      <c r="P383" s="9"/>
      <c r="Q383" s="2">
        <f>M383+O383</f>
        <v>262386</v>
      </c>
      <c r="T383" s="11"/>
    </row>
    <row r="384" spans="1:20" ht="11.85" customHeight="1" x14ac:dyDescent="0.2">
      <c r="A384" s="3" t="s">
        <v>276</v>
      </c>
      <c r="C384" s="2">
        <v>0</v>
      </c>
      <c r="E384" s="2">
        <v>14.47</v>
      </c>
      <c r="G384" s="2">
        <v>0</v>
      </c>
      <c r="I384" s="2">
        <v>0</v>
      </c>
      <c r="K384" s="2">
        <v>0</v>
      </c>
      <c r="L384" s="9"/>
      <c r="M384" s="2">
        <v>0</v>
      </c>
      <c r="N384" s="9"/>
      <c r="O384" s="24">
        <v>0</v>
      </c>
      <c r="P384" s="9"/>
      <c r="Q384" s="2">
        <f t="shared" ref="Q384:Q392" si="17">M384+O384</f>
        <v>0</v>
      </c>
      <c r="T384" s="11"/>
    </row>
    <row r="385" spans="1:34" ht="11.85" customHeight="1" x14ac:dyDescent="0.2">
      <c r="A385" s="3" t="s">
        <v>277</v>
      </c>
      <c r="C385" s="2">
        <v>0</v>
      </c>
      <c r="E385" s="2">
        <v>0</v>
      </c>
      <c r="G385" s="2">
        <v>0</v>
      </c>
      <c r="I385" s="2">
        <v>0</v>
      </c>
      <c r="K385" s="2">
        <v>0</v>
      </c>
      <c r="L385" s="9"/>
      <c r="M385" s="2">
        <v>0</v>
      </c>
      <c r="N385" s="9"/>
      <c r="O385" s="24">
        <v>0</v>
      </c>
      <c r="P385" s="9"/>
      <c r="Q385" s="2">
        <f t="shared" si="17"/>
        <v>0</v>
      </c>
      <c r="T385" s="11"/>
    </row>
    <row r="386" spans="1:34" ht="11.85" customHeight="1" x14ac:dyDescent="0.2">
      <c r="A386" s="3" t="s">
        <v>278</v>
      </c>
      <c r="C386" s="2">
        <v>4865</v>
      </c>
      <c r="E386" s="2">
        <v>5390</v>
      </c>
      <c r="G386" s="2">
        <v>5340</v>
      </c>
      <c r="I386" s="2">
        <v>5100</v>
      </c>
      <c r="K386" s="2">
        <v>5100</v>
      </c>
      <c r="L386" s="9"/>
      <c r="M386" s="2">
        <v>5100</v>
      </c>
      <c r="N386" s="9"/>
      <c r="O386" s="24">
        <v>0</v>
      </c>
      <c r="P386" s="9"/>
      <c r="Q386" s="2">
        <f t="shared" si="17"/>
        <v>5100</v>
      </c>
      <c r="T386" s="11"/>
    </row>
    <row r="387" spans="1:34" ht="11.85" customHeight="1" x14ac:dyDescent="0.2">
      <c r="A387" s="3" t="s">
        <v>279</v>
      </c>
      <c r="C387" s="2">
        <v>47939.02</v>
      </c>
      <c r="E387" s="2">
        <v>43848.56</v>
      </c>
      <c r="G387" s="2">
        <v>38023.58</v>
      </c>
      <c r="I387" s="2">
        <v>38276</v>
      </c>
      <c r="K387" s="2">
        <f>38276-7371</f>
        <v>30905</v>
      </c>
      <c r="L387" s="9"/>
      <c r="M387" s="2">
        <v>33872</v>
      </c>
      <c r="N387" s="9"/>
      <c r="O387" s="24">
        <v>0</v>
      </c>
      <c r="P387" s="9"/>
      <c r="Q387" s="2">
        <f t="shared" si="17"/>
        <v>33872</v>
      </c>
      <c r="T387" s="11"/>
    </row>
    <row r="388" spans="1:34" ht="11.85" customHeight="1" x14ac:dyDescent="0.2">
      <c r="A388" s="3" t="s">
        <v>280</v>
      </c>
      <c r="C388" s="2">
        <v>26087.68</v>
      </c>
      <c r="E388" s="2">
        <v>26018.52</v>
      </c>
      <c r="G388" s="2">
        <v>24187.65</v>
      </c>
      <c r="I388" s="2">
        <v>24134</v>
      </c>
      <c r="K388" s="2">
        <v>24134</v>
      </c>
      <c r="L388" s="9"/>
      <c r="M388" s="2">
        <v>24218</v>
      </c>
      <c r="N388" s="9"/>
      <c r="O388" s="24">
        <v>0</v>
      </c>
      <c r="P388" s="9"/>
      <c r="Q388" s="2">
        <f t="shared" si="17"/>
        <v>24218</v>
      </c>
      <c r="T388" s="11"/>
    </row>
    <row r="389" spans="1:34" ht="11.85" customHeight="1" x14ac:dyDescent="0.2">
      <c r="A389" s="3" t="s">
        <v>281</v>
      </c>
      <c r="C389" s="2">
        <v>1288.3399999999999</v>
      </c>
      <c r="E389" s="2">
        <v>1151.1400000000001</v>
      </c>
      <c r="G389" s="2">
        <v>619.41999999999996</v>
      </c>
      <c r="I389" s="2">
        <v>712</v>
      </c>
      <c r="K389" s="2">
        <v>712</v>
      </c>
      <c r="L389" s="9"/>
      <c r="M389" s="2">
        <v>699</v>
      </c>
      <c r="N389" s="9"/>
      <c r="O389" s="24">
        <v>0</v>
      </c>
      <c r="P389" s="9"/>
      <c r="Q389" s="2">
        <f t="shared" si="17"/>
        <v>699</v>
      </c>
      <c r="T389" s="11"/>
    </row>
    <row r="390" spans="1:34" ht="11.85" customHeight="1" x14ac:dyDescent="0.2">
      <c r="A390" s="3" t="s">
        <v>282</v>
      </c>
      <c r="C390" s="2">
        <v>1149.7</v>
      </c>
      <c r="E390" s="2">
        <v>36</v>
      </c>
      <c r="G390" s="2">
        <v>27</v>
      </c>
      <c r="I390" s="2">
        <v>280</v>
      </c>
      <c r="K390" s="2">
        <v>280</v>
      </c>
      <c r="L390" s="9"/>
      <c r="M390" s="2">
        <v>391</v>
      </c>
      <c r="N390" s="9"/>
      <c r="O390" s="24">
        <v>0</v>
      </c>
      <c r="P390" s="9"/>
      <c r="Q390" s="2">
        <f t="shared" si="17"/>
        <v>391</v>
      </c>
      <c r="T390" s="11"/>
    </row>
    <row r="391" spans="1:34" ht="11.85" customHeight="1" x14ac:dyDescent="0.2">
      <c r="A391" s="3" t="s">
        <v>283</v>
      </c>
      <c r="C391" s="2">
        <v>20619.919999999998</v>
      </c>
      <c r="E391" s="2">
        <v>22611.25</v>
      </c>
      <c r="G391" s="2">
        <v>20239.93</v>
      </c>
      <c r="I391" s="2">
        <v>18905</v>
      </c>
      <c r="K391" s="2">
        <v>18905</v>
      </c>
      <c r="L391" s="9"/>
      <c r="M391" s="2">
        <v>20466</v>
      </c>
      <c r="N391" s="9"/>
      <c r="O391" s="24">
        <v>0</v>
      </c>
      <c r="P391" s="9"/>
      <c r="Q391" s="2">
        <f t="shared" si="17"/>
        <v>20466</v>
      </c>
      <c r="T391" s="11"/>
    </row>
    <row r="392" spans="1:34" ht="11.85" customHeight="1" x14ac:dyDescent="0.2">
      <c r="A392" s="3" t="s">
        <v>284</v>
      </c>
      <c r="C392" s="12">
        <v>0</v>
      </c>
      <c r="E392" s="12">
        <v>41.36</v>
      </c>
      <c r="G392" s="12">
        <v>0</v>
      </c>
      <c r="I392" s="12">
        <v>0</v>
      </c>
      <c r="K392" s="12">
        <v>0</v>
      </c>
      <c r="L392" s="9"/>
      <c r="M392" s="12">
        <v>0</v>
      </c>
      <c r="N392" s="9"/>
      <c r="O392" s="26">
        <v>0</v>
      </c>
      <c r="P392" s="9"/>
      <c r="Q392" s="12">
        <f t="shared" si="17"/>
        <v>0</v>
      </c>
      <c r="T392" s="11"/>
      <c r="AH392" s="2"/>
    </row>
    <row r="393" spans="1:34" ht="11.85" customHeight="1" x14ac:dyDescent="0.2">
      <c r="A393" s="3" t="s">
        <v>285</v>
      </c>
      <c r="C393" s="2">
        <f>SUM(C383:C392)</f>
        <v>354006.16000000003</v>
      </c>
      <c r="E393" s="2">
        <f>SUM(E383:E392)</f>
        <v>360799.08</v>
      </c>
      <c r="G393" s="2">
        <f>SUM(G383:G392)</f>
        <v>329799.97000000003</v>
      </c>
      <c r="I393" s="2">
        <f>SUM(I383:I392)</f>
        <v>329777</v>
      </c>
      <c r="K393" s="2">
        <f>SUM(K383:K392)</f>
        <v>347406</v>
      </c>
      <c r="L393" s="9"/>
      <c r="M393" s="2">
        <f>SUM(M383:M392)</f>
        <v>347132</v>
      </c>
      <c r="N393" s="9"/>
      <c r="O393" s="24">
        <f>SUM(O383:O392)</f>
        <v>0</v>
      </c>
      <c r="P393" s="9"/>
      <c r="Q393" s="2">
        <f>SUM(Q383:Q392)</f>
        <v>347132</v>
      </c>
      <c r="R393" s="9"/>
      <c r="T393" s="14"/>
      <c r="U393" s="9"/>
    </row>
    <row r="394" spans="1:34" ht="11.85" customHeight="1" x14ac:dyDescent="0.2">
      <c r="L394" s="9"/>
      <c r="N394" s="9"/>
      <c r="P394" s="9"/>
    </row>
    <row r="395" spans="1:34" ht="11.85" customHeight="1" x14ac:dyDescent="0.2">
      <c r="A395" s="10" t="s">
        <v>286</v>
      </c>
      <c r="L395" s="9"/>
      <c r="N395" s="9"/>
      <c r="P395" s="9"/>
    </row>
    <row r="396" spans="1:34" ht="11.85" customHeight="1" x14ac:dyDescent="0.2">
      <c r="A396" s="3" t="s">
        <v>287</v>
      </c>
      <c r="C396" s="2">
        <v>540</v>
      </c>
      <c r="E396" s="2">
        <v>860</v>
      </c>
      <c r="G396" s="2">
        <v>1476.6</v>
      </c>
      <c r="I396" s="2">
        <v>1000</v>
      </c>
      <c r="K396" s="2">
        <v>1000</v>
      </c>
      <c r="L396" s="9"/>
      <c r="M396" s="2">
        <v>1000</v>
      </c>
      <c r="N396" s="9"/>
      <c r="O396" s="2">
        <v>0</v>
      </c>
      <c r="P396" s="9"/>
      <c r="Q396" s="2">
        <f t="shared" ref="Q396:Q412" si="18">M396+O396</f>
        <v>1000</v>
      </c>
      <c r="T396" s="11"/>
    </row>
    <row r="397" spans="1:34" ht="11.85" customHeight="1" x14ac:dyDescent="0.2">
      <c r="A397" s="3" t="s">
        <v>288</v>
      </c>
      <c r="C397" s="2">
        <v>21700.59</v>
      </c>
      <c r="E397" s="2">
        <v>23950.37</v>
      </c>
      <c r="G397" s="2">
        <v>24048.01</v>
      </c>
      <c r="I397" s="2">
        <v>22000</v>
      </c>
      <c r="K397" s="2">
        <v>22000</v>
      </c>
      <c r="L397" s="9"/>
      <c r="M397" s="2">
        <v>22000</v>
      </c>
      <c r="N397" s="9"/>
      <c r="O397" s="2">
        <v>0</v>
      </c>
      <c r="P397" s="9"/>
      <c r="Q397" s="2">
        <f t="shared" si="18"/>
        <v>22000</v>
      </c>
      <c r="T397" s="11"/>
    </row>
    <row r="398" spans="1:34" ht="11.85" customHeight="1" x14ac:dyDescent="0.2">
      <c r="A398" s="3" t="s">
        <v>289</v>
      </c>
      <c r="C398" s="2">
        <v>9531.5</v>
      </c>
      <c r="E398" s="2">
        <v>46554.76</v>
      </c>
      <c r="G398" s="2">
        <v>69211.94</v>
      </c>
      <c r="I398" s="2">
        <v>101500</v>
      </c>
      <c r="K398" s="2">
        <v>101500</v>
      </c>
      <c r="L398" s="9"/>
      <c r="M398" s="2">
        <v>21000</v>
      </c>
      <c r="N398" s="9"/>
      <c r="O398" s="2">
        <v>0</v>
      </c>
      <c r="P398" s="9"/>
      <c r="Q398" s="2">
        <f t="shared" si="18"/>
        <v>21000</v>
      </c>
      <c r="T398" s="11"/>
    </row>
    <row r="399" spans="1:34" ht="11.85" customHeight="1" x14ac:dyDescent="0.2">
      <c r="A399" s="3" t="s">
        <v>290</v>
      </c>
      <c r="C399" s="2">
        <v>3157.44</v>
      </c>
      <c r="E399" s="2">
        <v>2311.4899999999998</v>
      </c>
      <c r="G399" s="2">
        <v>1721.29</v>
      </c>
      <c r="I399" s="2">
        <v>3000</v>
      </c>
      <c r="K399" s="2">
        <v>3000</v>
      </c>
      <c r="L399" s="9"/>
      <c r="M399" s="2">
        <v>2000</v>
      </c>
      <c r="N399" s="9"/>
      <c r="O399" s="2">
        <v>0</v>
      </c>
      <c r="P399" s="9"/>
      <c r="Q399" s="2">
        <f t="shared" si="18"/>
        <v>2000</v>
      </c>
      <c r="T399" s="11"/>
    </row>
    <row r="400" spans="1:34" ht="11.85" customHeight="1" x14ac:dyDescent="0.2">
      <c r="A400" s="3" t="s">
        <v>291</v>
      </c>
      <c r="C400" s="2">
        <v>26291.3</v>
      </c>
      <c r="E400" s="2">
        <v>28710.6</v>
      </c>
      <c r="G400" s="2">
        <v>32797.379999999997</v>
      </c>
      <c r="I400" s="2">
        <v>37850</v>
      </c>
      <c r="K400" s="2">
        <v>37850</v>
      </c>
      <c r="L400" s="9"/>
      <c r="M400" s="2">
        <v>38800</v>
      </c>
      <c r="N400" s="9"/>
      <c r="O400" s="2">
        <v>0</v>
      </c>
      <c r="P400" s="9"/>
      <c r="Q400" s="2">
        <f t="shared" si="18"/>
        <v>38800</v>
      </c>
      <c r="T400" s="11"/>
    </row>
    <row r="401" spans="1:20" ht="11.85" customHeight="1" x14ac:dyDescent="0.2">
      <c r="A401" s="3" t="s">
        <v>292</v>
      </c>
      <c r="C401" s="2">
        <v>3057.62</v>
      </c>
      <c r="E401" s="2">
        <v>11189.05</v>
      </c>
      <c r="G401" s="2">
        <v>25957.11</v>
      </c>
      <c r="I401" s="2">
        <v>29000</v>
      </c>
      <c r="K401" s="2">
        <v>4000</v>
      </c>
      <c r="L401" s="9"/>
      <c r="M401" s="2">
        <v>4000</v>
      </c>
      <c r="N401" s="9"/>
      <c r="O401" s="2">
        <v>0</v>
      </c>
      <c r="P401" s="9"/>
      <c r="Q401" s="2">
        <f t="shared" si="18"/>
        <v>4000</v>
      </c>
      <c r="T401" s="11"/>
    </row>
    <row r="402" spans="1:20" ht="11.85" customHeight="1" x14ac:dyDescent="0.2">
      <c r="A402" s="3" t="s">
        <v>293</v>
      </c>
      <c r="C402" s="2">
        <v>22905.37</v>
      </c>
      <c r="E402" s="2">
        <v>13335.58</v>
      </c>
      <c r="G402" s="2">
        <v>7303.06</v>
      </c>
      <c r="I402" s="2">
        <v>20000</v>
      </c>
      <c r="K402" s="2">
        <v>20000</v>
      </c>
      <c r="L402" s="9"/>
      <c r="M402" s="2">
        <v>20000</v>
      </c>
      <c r="N402" s="9"/>
      <c r="O402" s="2">
        <v>0</v>
      </c>
      <c r="P402" s="9"/>
      <c r="Q402" s="2">
        <f t="shared" si="18"/>
        <v>20000</v>
      </c>
      <c r="T402" s="11"/>
    </row>
    <row r="403" spans="1:20" ht="11.85" hidden="1" customHeight="1" x14ac:dyDescent="0.2">
      <c r="A403" s="3" t="s">
        <v>294</v>
      </c>
      <c r="C403" s="2">
        <v>0</v>
      </c>
      <c r="E403" s="2">
        <v>0</v>
      </c>
      <c r="G403" s="2">
        <v>0</v>
      </c>
      <c r="I403" s="2">
        <v>0</v>
      </c>
      <c r="K403" s="2">
        <v>0</v>
      </c>
      <c r="L403" s="9"/>
      <c r="M403" s="2">
        <v>0</v>
      </c>
      <c r="N403" s="9"/>
      <c r="O403" s="2">
        <v>0</v>
      </c>
      <c r="P403" s="9"/>
      <c r="Q403" s="2">
        <f t="shared" si="18"/>
        <v>0</v>
      </c>
      <c r="T403" s="11"/>
    </row>
    <row r="404" spans="1:20" ht="11.85" customHeight="1" x14ac:dyDescent="0.2">
      <c r="A404" s="3" t="s">
        <v>295</v>
      </c>
      <c r="C404" s="2">
        <v>26464.92</v>
      </c>
      <c r="E404" s="2">
        <v>23341.4</v>
      </c>
      <c r="G404" s="2">
        <v>24969.48</v>
      </c>
      <c r="I404" s="2">
        <v>27000</v>
      </c>
      <c r="K404" s="2">
        <v>27000</v>
      </c>
      <c r="L404" s="9"/>
      <c r="M404" s="2">
        <v>27000</v>
      </c>
      <c r="N404" s="9"/>
      <c r="O404" s="2">
        <v>0</v>
      </c>
      <c r="P404" s="9"/>
      <c r="Q404" s="2">
        <f t="shared" si="18"/>
        <v>27000</v>
      </c>
      <c r="T404" s="11"/>
    </row>
    <row r="405" spans="1:20" ht="11.85" customHeight="1" x14ac:dyDescent="0.2">
      <c r="A405" s="3" t="s">
        <v>296</v>
      </c>
      <c r="C405" s="2">
        <v>25552.080000000002</v>
      </c>
      <c r="E405" s="2">
        <v>26354.01</v>
      </c>
      <c r="G405" s="2">
        <v>28398.53</v>
      </c>
      <c r="I405" s="2">
        <v>27000</v>
      </c>
      <c r="K405" s="2">
        <v>27000</v>
      </c>
      <c r="L405" s="9"/>
      <c r="M405" s="2">
        <v>28000</v>
      </c>
      <c r="N405" s="9"/>
      <c r="O405" s="2">
        <v>0</v>
      </c>
      <c r="P405" s="9"/>
      <c r="Q405" s="2">
        <f t="shared" si="18"/>
        <v>28000</v>
      </c>
      <c r="T405" s="11"/>
    </row>
    <row r="406" spans="1:20" ht="11.85" customHeight="1" x14ac:dyDescent="0.2">
      <c r="A406" s="3" t="s">
        <v>297</v>
      </c>
      <c r="C406" s="2">
        <v>15574.76</v>
      </c>
      <c r="E406" s="2">
        <v>12848.7</v>
      </c>
      <c r="G406" s="2">
        <v>8717.8799999999992</v>
      </c>
      <c r="I406" s="2">
        <v>7300</v>
      </c>
      <c r="K406" s="2">
        <v>7300</v>
      </c>
      <c r="L406" s="9"/>
      <c r="M406" s="2">
        <v>6000</v>
      </c>
      <c r="N406" s="9"/>
      <c r="O406" s="2">
        <v>0</v>
      </c>
      <c r="P406" s="9"/>
      <c r="Q406" s="2">
        <f t="shared" si="18"/>
        <v>6000</v>
      </c>
      <c r="T406" s="11"/>
    </row>
    <row r="407" spans="1:20" ht="11.85" hidden="1" customHeight="1" x14ac:dyDescent="0.2">
      <c r="A407" s="3" t="s">
        <v>298</v>
      </c>
      <c r="C407" s="2">
        <v>0</v>
      </c>
      <c r="E407" s="2">
        <v>0</v>
      </c>
      <c r="G407" s="2">
        <v>0</v>
      </c>
      <c r="I407" s="2">
        <v>0</v>
      </c>
      <c r="K407" s="2">
        <v>0</v>
      </c>
      <c r="L407" s="9"/>
      <c r="M407" s="2">
        <v>0</v>
      </c>
      <c r="N407" s="9"/>
      <c r="O407" s="2">
        <v>0</v>
      </c>
      <c r="P407" s="9"/>
      <c r="Q407" s="2">
        <f t="shared" si="18"/>
        <v>0</v>
      </c>
      <c r="T407" s="11"/>
    </row>
    <row r="408" spans="1:20" ht="11.85" customHeight="1" x14ac:dyDescent="0.2">
      <c r="A408" s="3" t="s">
        <v>299</v>
      </c>
      <c r="C408" s="2">
        <v>8508</v>
      </c>
      <c r="E408" s="2">
        <v>8508</v>
      </c>
      <c r="G408" s="2">
        <v>8508</v>
      </c>
      <c r="I408" s="2">
        <v>8500</v>
      </c>
      <c r="K408" s="2">
        <v>8500</v>
      </c>
      <c r="L408" s="9"/>
      <c r="M408" s="2">
        <v>8500</v>
      </c>
      <c r="N408" s="9"/>
      <c r="O408" s="2">
        <v>0</v>
      </c>
      <c r="P408" s="9"/>
      <c r="Q408" s="2">
        <f t="shared" si="18"/>
        <v>8500</v>
      </c>
      <c r="T408" s="11"/>
    </row>
    <row r="409" spans="1:20" ht="11.85" customHeight="1" x14ac:dyDescent="0.2">
      <c r="A409" s="3" t="s">
        <v>300</v>
      </c>
      <c r="C409" s="2">
        <v>2063</v>
      </c>
      <c r="E409" s="2">
        <v>3436</v>
      </c>
      <c r="G409" s="2">
        <v>3165.5</v>
      </c>
      <c r="I409" s="2">
        <v>3500</v>
      </c>
      <c r="K409" s="2">
        <v>3500</v>
      </c>
      <c r="L409" s="9"/>
      <c r="M409" s="2">
        <v>3500</v>
      </c>
      <c r="N409" s="9"/>
      <c r="O409" s="2">
        <v>0</v>
      </c>
      <c r="P409" s="9"/>
      <c r="Q409" s="2">
        <f t="shared" si="18"/>
        <v>3500</v>
      </c>
      <c r="T409" s="11"/>
    </row>
    <row r="410" spans="1:20" ht="11.85" customHeight="1" x14ac:dyDescent="0.2">
      <c r="A410" s="3" t="s">
        <v>301</v>
      </c>
      <c r="C410" s="2">
        <v>1799.11</v>
      </c>
      <c r="E410" s="2">
        <v>2170.21</v>
      </c>
      <c r="G410" s="2">
        <v>3692.19</v>
      </c>
      <c r="I410" s="2">
        <v>11300</v>
      </c>
      <c r="K410" s="2">
        <v>11300</v>
      </c>
      <c r="L410" s="9"/>
      <c r="M410" s="2">
        <v>9000</v>
      </c>
      <c r="N410" s="9"/>
      <c r="O410" s="2">
        <v>0</v>
      </c>
      <c r="P410" s="9"/>
      <c r="Q410" s="2">
        <f t="shared" si="18"/>
        <v>9000</v>
      </c>
      <c r="T410" s="11"/>
    </row>
    <row r="411" spans="1:20" ht="11.85" customHeight="1" x14ac:dyDescent="0.2">
      <c r="A411" s="3" t="s">
        <v>302</v>
      </c>
      <c r="C411" s="12">
        <v>0</v>
      </c>
      <c r="E411" s="12">
        <v>4544.57</v>
      </c>
      <c r="G411" s="12">
        <v>43302.879999999997</v>
      </c>
      <c r="I411" s="12">
        <v>0</v>
      </c>
      <c r="K411" s="12">
        <v>0</v>
      </c>
      <c r="L411" s="9"/>
      <c r="M411" s="12">
        <v>0</v>
      </c>
      <c r="N411" s="9"/>
      <c r="O411" s="12">
        <v>0</v>
      </c>
      <c r="P411" s="9"/>
      <c r="Q411" s="12">
        <f>M411+O411</f>
        <v>0</v>
      </c>
      <c r="T411" s="11"/>
    </row>
    <row r="412" spans="1:20" ht="11.85" hidden="1" customHeight="1" x14ac:dyDescent="0.2">
      <c r="A412" s="3" t="s">
        <v>303</v>
      </c>
      <c r="C412" s="12">
        <v>0</v>
      </c>
      <c r="E412" s="12">
        <v>0</v>
      </c>
      <c r="G412" s="12">
        <v>0</v>
      </c>
      <c r="I412" s="12">
        <v>0</v>
      </c>
      <c r="K412" s="12">
        <v>0</v>
      </c>
      <c r="L412" s="9"/>
      <c r="M412" s="12">
        <v>0</v>
      </c>
      <c r="N412" s="9"/>
      <c r="O412" s="12">
        <v>0</v>
      </c>
      <c r="P412" s="9"/>
      <c r="Q412" s="12">
        <f t="shared" si="18"/>
        <v>0</v>
      </c>
      <c r="T412" s="11"/>
    </row>
    <row r="413" spans="1:20" ht="11.85" customHeight="1" x14ac:dyDescent="0.2">
      <c r="A413" s="3" t="s">
        <v>304</v>
      </c>
      <c r="C413" s="2">
        <f>SUM(C396:C412)</f>
        <v>167145.69</v>
      </c>
      <c r="E413" s="2">
        <f>SUM(E396:E412)</f>
        <v>208114.74000000002</v>
      </c>
      <c r="G413" s="2">
        <f>SUM(G396:G412)</f>
        <v>283269.85000000003</v>
      </c>
      <c r="I413" s="2">
        <f>SUM(I396:I412)</f>
        <v>298950</v>
      </c>
      <c r="K413" s="2">
        <f>SUM(K396:K412)</f>
        <v>273950</v>
      </c>
      <c r="L413" s="9"/>
      <c r="M413" s="2">
        <f>SUM(M396:M412)</f>
        <v>190800</v>
      </c>
      <c r="N413" s="9"/>
      <c r="O413" s="2">
        <f>SUM(O396:O412)</f>
        <v>0</v>
      </c>
      <c r="P413" s="9"/>
      <c r="Q413" s="2">
        <f>SUM(Q396:Q412)</f>
        <v>190800</v>
      </c>
      <c r="T413" s="14"/>
    </row>
    <row r="414" spans="1:20" ht="11.85" customHeight="1" x14ac:dyDescent="0.2">
      <c r="L414" s="9"/>
      <c r="N414" s="9"/>
      <c r="P414" s="9"/>
    </row>
    <row r="415" spans="1:20" ht="11.85" customHeight="1" x14ac:dyDescent="0.2">
      <c r="A415" s="10" t="s">
        <v>305</v>
      </c>
      <c r="L415" s="9"/>
      <c r="N415" s="9"/>
      <c r="P415" s="9"/>
    </row>
    <row r="416" spans="1:20" ht="11.85" customHeight="1" x14ac:dyDescent="0.2">
      <c r="A416" s="3" t="s">
        <v>306</v>
      </c>
      <c r="C416" s="2">
        <v>2339.73</v>
      </c>
      <c r="E416" s="2">
        <v>1575.82</v>
      </c>
      <c r="G416" s="2">
        <v>2724.47</v>
      </c>
      <c r="I416" s="2">
        <v>2500</v>
      </c>
      <c r="K416" s="2">
        <v>7000</v>
      </c>
      <c r="L416" s="9"/>
      <c r="M416" s="2">
        <v>7000</v>
      </c>
      <c r="N416" s="9"/>
      <c r="O416" s="2">
        <v>0</v>
      </c>
      <c r="P416" s="9"/>
      <c r="Q416" s="2">
        <f t="shared" ref="Q416:Q432" si="19">M416+O416</f>
        <v>7000</v>
      </c>
      <c r="T416" s="11"/>
    </row>
    <row r="417" spans="1:21" ht="11.85" customHeight="1" x14ac:dyDescent="0.2">
      <c r="A417" s="3" t="s">
        <v>307</v>
      </c>
      <c r="C417" s="2">
        <v>18928.009999999998</v>
      </c>
      <c r="E417" s="2">
        <v>21837.35</v>
      </c>
      <c r="G417" s="2">
        <v>19969.11</v>
      </c>
      <c r="I417" s="2">
        <v>21000</v>
      </c>
      <c r="K417" s="2">
        <v>21000</v>
      </c>
      <c r="L417" s="9"/>
      <c r="M417" s="2">
        <v>21000</v>
      </c>
      <c r="N417" s="9"/>
      <c r="O417" s="2">
        <v>0</v>
      </c>
      <c r="P417" s="9"/>
      <c r="Q417" s="2">
        <f t="shared" si="19"/>
        <v>21000</v>
      </c>
      <c r="T417" s="11"/>
    </row>
    <row r="418" spans="1:21" ht="11.85" customHeight="1" x14ac:dyDescent="0.2">
      <c r="A418" s="3" t="s">
        <v>308</v>
      </c>
      <c r="C418" s="2">
        <v>2160.2399999999998</v>
      </c>
      <c r="E418" s="2">
        <v>3114.13</v>
      </c>
      <c r="G418" s="2">
        <v>7464.38</v>
      </c>
      <c r="I418" s="2">
        <v>4000</v>
      </c>
      <c r="K418" s="2">
        <v>4000</v>
      </c>
      <c r="L418" s="9"/>
      <c r="M418" s="2">
        <v>5000</v>
      </c>
      <c r="N418" s="9"/>
      <c r="O418" s="2">
        <v>0</v>
      </c>
      <c r="P418" s="9"/>
      <c r="Q418" s="2">
        <f t="shared" si="19"/>
        <v>5000</v>
      </c>
      <c r="T418" s="11"/>
    </row>
    <row r="419" spans="1:21" ht="11.85" customHeight="1" x14ac:dyDescent="0.2">
      <c r="A419" s="3" t="s">
        <v>309</v>
      </c>
      <c r="C419" s="2">
        <v>17049.560000000001</v>
      </c>
      <c r="E419" s="2">
        <v>19662.27</v>
      </c>
      <c r="G419" s="2">
        <v>21230.18</v>
      </c>
      <c r="I419" s="2">
        <v>20000</v>
      </c>
      <c r="K419" s="2">
        <v>20000</v>
      </c>
      <c r="L419" s="9"/>
      <c r="M419" s="2">
        <v>20000</v>
      </c>
      <c r="N419" s="9"/>
      <c r="O419" s="2">
        <v>0</v>
      </c>
      <c r="P419" s="9"/>
      <c r="Q419" s="2">
        <f t="shared" si="19"/>
        <v>20000</v>
      </c>
      <c r="T419" s="11"/>
    </row>
    <row r="420" spans="1:21" ht="11.85" customHeight="1" x14ac:dyDescent="0.2">
      <c r="A420" s="3" t="s">
        <v>310</v>
      </c>
      <c r="C420" s="2">
        <v>9762.99</v>
      </c>
      <c r="E420" s="2">
        <v>11066.62</v>
      </c>
      <c r="G420" s="2">
        <v>11701</v>
      </c>
      <c r="I420" s="2">
        <v>11500</v>
      </c>
      <c r="K420" s="2">
        <v>11500</v>
      </c>
      <c r="L420" s="9"/>
      <c r="M420" s="2">
        <v>11500</v>
      </c>
      <c r="N420" s="9"/>
      <c r="O420" s="2">
        <v>0</v>
      </c>
      <c r="P420" s="9"/>
      <c r="Q420" s="2">
        <f t="shared" si="19"/>
        <v>11500</v>
      </c>
      <c r="T420" s="11"/>
    </row>
    <row r="421" spans="1:21" ht="11.85" customHeight="1" x14ac:dyDescent="0.2">
      <c r="A421" s="3" t="s">
        <v>311</v>
      </c>
      <c r="C421" s="2">
        <v>610.52</v>
      </c>
      <c r="E421" s="2">
        <v>825.89</v>
      </c>
      <c r="G421" s="2">
        <v>435.37</v>
      </c>
      <c r="I421" s="2">
        <v>1000</v>
      </c>
      <c r="K421" s="2">
        <v>1000</v>
      </c>
      <c r="L421" s="9"/>
      <c r="M421" s="2">
        <v>500</v>
      </c>
      <c r="N421" s="9"/>
      <c r="O421" s="2">
        <v>0</v>
      </c>
      <c r="P421" s="9"/>
      <c r="Q421" s="2">
        <f t="shared" si="19"/>
        <v>500</v>
      </c>
      <c r="T421" s="11"/>
    </row>
    <row r="422" spans="1:21" ht="11.85" customHeight="1" x14ac:dyDescent="0.2">
      <c r="A422" s="3" t="s">
        <v>312</v>
      </c>
      <c r="C422" s="2">
        <v>901.75</v>
      </c>
      <c r="E422" s="2">
        <v>337.79</v>
      </c>
      <c r="G422" s="2">
        <v>363.44</v>
      </c>
      <c r="I422" s="2">
        <v>1000</v>
      </c>
      <c r="K422" s="2">
        <v>1000</v>
      </c>
      <c r="L422" s="9"/>
      <c r="M422" s="2">
        <v>500</v>
      </c>
      <c r="N422" s="9"/>
      <c r="O422" s="2">
        <v>0</v>
      </c>
      <c r="P422" s="9"/>
      <c r="Q422" s="2">
        <f t="shared" si="19"/>
        <v>500</v>
      </c>
      <c r="T422" s="11"/>
    </row>
    <row r="423" spans="1:21" ht="11.85" customHeight="1" x14ac:dyDescent="0.2">
      <c r="A423" s="3" t="s">
        <v>313</v>
      </c>
      <c r="C423" s="2">
        <v>9125.48</v>
      </c>
      <c r="E423" s="2">
        <v>3107.62</v>
      </c>
      <c r="G423" s="2">
        <v>9609.2099999999991</v>
      </c>
      <c r="I423" s="2">
        <v>10000</v>
      </c>
      <c r="K423" s="2">
        <v>10000</v>
      </c>
      <c r="L423" s="9"/>
      <c r="M423" s="2">
        <v>10000</v>
      </c>
      <c r="N423" s="9"/>
      <c r="O423" s="2">
        <v>0</v>
      </c>
      <c r="P423" s="9"/>
      <c r="Q423" s="2">
        <f t="shared" si="19"/>
        <v>10000</v>
      </c>
      <c r="T423" s="11"/>
    </row>
    <row r="424" spans="1:21" ht="11.85" customHeight="1" x14ac:dyDescent="0.2">
      <c r="A424" s="3" t="s">
        <v>314</v>
      </c>
      <c r="C424" s="2">
        <v>0</v>
      </c>
      <c r="E424" s="2">
        <v>386.5</v>
      </c>
      <c r="G424" s="2">
        <v>99</v>
      </c>
      <c r="I424" s="2">
        <v>500</v>
      </c>
      <c r="K424" s="2">
        <v>500</v>
      </c>
      <c r="L424" s="9"/>
      <c r="M424" s="2">
        <v>500</v>
      </c>
      <c r="N424" s="9"/>
      <c r="O424" s="2">
        <v>0</v>
      </c>
      <c r="P424" s="9"/>
      <c r="Q424" s="2">
        <f t="shared" si="19"/>
        <v>500</v>
      </c>
      <c r="T424" s="11"/>
    </row>
    <row r="425" spans="1:21" ht="11.85" customHeight="1" x14ac:dyDescent="0.2">
      <c r="A425" s="3" t="s">
        <v>315</v>
      </c>
      <c r="C425" s="2">
        <v>0</v>
      </c>
      <c r="E425" s="2">
        <v>0</v>
      </c>
      <c r="G425" s="2">
        <v>2781.29</v>
      </c>
      <c r="I425" s="2">
        <v>0</v>
      </c>
      <c r="K425" s="2">
        <v>0</v>
      </c>
      <c r="L425" s="9"/>
      <c r="M425" s="2">
        <v>0</v>
      </c>
      <c r="N425" s="9"/>
      <c r="O425" s="2">
        <v>0</v>
      </c>
      <c r="P425" s="9"/>
      <c r="Q425" s="2">
        <f t="shared" si="19"/>
        <v>0</v>
      </c>
      <c r="T425" s="11"/>
    </row>
    <row r="426" spans="1:21" ht="11.85" customHeight="1" x14ac:dyDescent="0.2">
      <c r="A426" s="3" t="s">
        <v>316</v>
      </c>
      <c r="C426" s="2">
        <v>535.89</v>
      </c>
      <c r="E426" s="2">
        <v>0</v>
      </c>
      <c r="G426" s="2">
        <v>232.58</v>
      </c>
      <c r="I426" s="2">
        <v>500</v>
      </c>
      <c r="K426" s="2">
        <v>500</v>
      </c>
      <c r="L426" s="9"/>
      <c r="M426" s="2">
        <v>500</v>
      </c>
      <c r="N426" s="9"/>
      <c r="O426" s="2">
        <v>0</v>
      </c>
      <c r="P426" s="9"/>
      <c r="Q426" s="2">
        <f t="shared" si="19"/>
        <v>500</v>
      </c>
      <c r="T426" s="11"/>
    </row>
    <row r="427" spans="1:21" ht="11.85" customHeight="1" x14ac:dyDescent="0.2">
      <c r="A427" s="3" t="s">
        <v>317</v>
      </c>
      <c r="C427" s="2">
        <v>10761.9</v>
      </c>
      <c r="E427" s="2">
        <v>14963.25</v>
      </c>
      <c r="G427" s="2">
        <v>13444.48</v>
      </c>
      <c r="I427" s="2">
        <v>13600</v>
      </c>
      <c r="K427" s="2">
        <v>13600</v>
      </c>
      <c r="L427" s="9"/>
      <c r="M427" s="2">
        <v>13600</v>
      </c>
      <c r="N427" s="9"/>
      <c r="O427" s="2">
        <v>0</v>
      </c>
      <c r="P427" s="9"/>
      <c r="Q427" s="2">
        <f t="shared" si="19"/>
        <v>13600</v>
      </c>
      <c r="T427" s="11"/>
    </row>
    <row r="428" spans="1:21" ht="11.85" customHeight="1" x14ac:dyDescent="0.2">
      <c r="A428" s="3" t="s">
        <v>318</v>
      </c>
      <c r="C428" s="2">
        <v>0</v>
      </c>
      <c r="E428" s="2">
        <v>0</v>
      </c>
      <c r="G428" s="2">
        <v>0</v>
      </c>
      <c r="I428" s="2">
        <v>100</v>
      </c>
      <c r="K428" s="2">
        <v>100</v>
      </c>
      <c r="L428" s="9"/>
      <c r="M428" s="2">
        <v>100</v>
      </c>
      <c r="N428" s="9"/>
      <c r="O428" s="2">
        <v>0</v>
      </c>
      <c r="P428" s="9"/>
      <c r="Q428" s="2">
        <f t="shared" si="19"/>
        <v>100</v>
      </c>
      <c r="T428" s="11"/>
    </row>
    <row r="429" spans="1:21" ht="11.85" hidden="1" customHeight="1" x14ac:dyDescent="0.2">
      <c r="A429" s="3" t="s">
        <v>319</v>
      </c>
      <c r="C429" s="2">
        <v>0</v>
      </c>
      <c r="E429" s="2">
        <v>0</v>
      </c>
      <c r="G429" s="2">
        <v>0</v>
      </c>
      <c r="I429" s="2">
        <v>0</v>
      </c>
      <c r="K429" s="2">
        <v>0</v>
      </c>
      <c r="L429" s="9"/>
      <c r="M429" s="2">
        <v>0</v>
      </c>
      <c r="N429" s="9"/>
      <c r="O429" s="2">
        <v>0</v>
      </c>
      <c r="P429" s="9"/>
      <c r="Q429" s="2">
        <f t="shared" si="19"/>
        <v>0</v>
      </c>
      <c r="T429" s="11"/>
    </row>
    <row r="430" spans="1:21" ht="11.85" customHeight="1" x14ac:dyDescent="0.2">
      <c r="A430" s="3" t="s">
        <v>320</v>
      </c>
      <c r="C430" s="2">
        <v>0</v>
      </c>
      <c r="E430" s="2">
        <v>0</v>
      </c>
      <c r="G430" s="2">
        <v>0</v>
      </c>
      <c r="I430" s="2">
        <v>0</v>
      </c>
      <c r="K430" s="2">
        <v>0</v>
      </c>
      <c r="L430" s="9"/>
      <c r="M430" s="2">
        <v>0</v>
      </c>
      <c r="N430" s="9"/>
      <c r="O430" s="2">
        <v>0</v>
      </c>
      <c r="P430" s="9"/>
      <c r="Q430" s="2">
        <f t="shared" si="19"/>
        <v>0</v>
      </c>
      <c r="T430" s="11"/>
    </row>
    <row r="431" spans="1:21" ht="11.85" customHeight="1" x14ac:dyDescent="0.2">
      <c r="A431" s="3" t="s">
        <v>321</v>
      </c>
      <c r="C431" s="2">
        <v>1824.09</v>
      </c>
      <c r="E431" s="2">
        <v>2026.79</v>
      </c>
      <c r="G431" s="2">
        <v>1850.53</v>
      </c>
      <c r="I431" s="2">
        <v>2000</v>
      </c>
      <c r="K431" s="2">
        <v>2000</v>
      </c>
      <c r="L431" s="9"/>
      <c r="M431" s="2">
        <v>2000</v>
      </c>
      <c r="N431" s="9"/>
      <c r="O431" s="2">
        <v>0</v>
      </c>
      <c r="P431" s="9"/>
      <c r="Q431" s="2">
        <f t="shared" si="19"/>
        <v>2000</v>
      </c>
      <c r="T431" s="11"/>
    </row>
    <row r="432" spans="1:21" ht="11.85" customHeight="1" x14ac:dyDescent="0.2">
      <c r="A432" s="3" t="s">
        <v>322</v>
      </c>
      <c r="C432" s="2">
        <v>0</v>
      </c>
      <c r="E432" s="2">
        <v>0</v>
      </c>
      <c r="G432" s="2">
        <v>306.36</v>
      </c>
      <c r="I432" s="2">
        <v>0</v>
      </c>
      <c r="K432" s="2">
        <v>0</v>
      </c>
      <c r="L432" s="9"/>
      <c r="M432" s="2">
        <v>0</v>
      </c>
      <c r="N432" s="9"/>
      <c r="O432" s="2">
        <v>0</v>
      </c>
      <c r="P432" s="9"/>
      <c r="Q432" s="2">
        <f t="shared" si="19"/>
        <v>0</v>
      </c>
      <c r="T432" s="11"/>
      <c r="U432" s="9"/>
    </row>
    <row r="433" spans="1:21" ht="11.85" customHeight="1" x14ac:dyDescent="0.2">
      <c r="L433" s="9"/>
      <c r="N433" s="9"/>
      <c r="P433" s="9"/>
      <c r="T433" s="11"/>
      <c r="U433" s="9"/>
    </row>
    <row r="434" spans="1:21" ht="11.85" customHeight="1" x14ac:dyDescent="0.2">
      <c r="L434" s="9"/>
      <c r="N434" s="9"/>
      <c r="P434" s="9"/>
    </row>
    <row r="435" spans="1:21" ht="11.85" customHeight="1" x14ac:dyDescent="0.2">
      <c r="L435" s="9"/>
      <c r="N435" s="9"/>
      <c r="P435" s="9"/>
    </row>
    <row r="436" spans="1:21" ht="11.85" customHeight="1" x14ac:dyDescent="0.2">
      <c r="L436" s="9"/>
      <c r="N436" s="9"/>
      <c r="P436" s="9"/>
    </row>
    <row r="437" spans="1:21" ht="11.85" customHeight="1" x14ac:dyDescent="0.2">
      <c r="L437" s="9"/>
      <c r="N437" s="9"/>
      <c r="P437" s="9"/>
    </row>
    <row r="438" spans="1:21" ht="11.85" customHeight="1" x14ac:dyDescent="0.2">
      <c r="A438" s="1"/>
      <c r="B438" s="1"/>
      <c r="E438" s="2" t="str">
        <f>$E$1</f>
        <v>CITY OF BRADY</v>
      </c>
    </row>
    <row r="439" spans="1:21" ht="11.85" customHeight="1" x14ac:dyDescent="0.2">
      <c r="E439" s="2" t="str">
        <f>$E$2</f>
        <v>BUDGET REPORT</v>
      </c>
    </row>
    <row r="440" spans="1:21" ht="11.85" customHeight="1" x14ac:dyDescent="0.2">
      <c r="E440" s="2" t="str">
        <f>$E$3</f>
        <v>FISCAL YEAR 2024 - 2025</v>
      </c>
    </row>
    <row r="441" spans="1:21" ht="11.85" customHeight="1" x14ac:dyDescent="0.2">
      <c r="A441" s="3" t="s">
        <v>3</v>
      </c>
    </row>
    <row r="442" spans="1:21" ht="11.85" customHeight="1" x14ac:dyDescent="0.2">
      <c r="A442" s="3" t="s">
        <v>272</v>
      </c>
    </row>
    <row r="443" spans="1:21" ht="11.85" customHeight="1" x14ac:dyDescent="0.2">
      <c r="I443" s="53" t="str">
        <f>+I6</f>
        <v>(----- 2023-2024------)</v>
      </c>
      <c r="J443" s="53"/>
      <c r="K443" s="53"/>
      <c r="L443" s="6"/>
      <c r="M443" s="54" t="str">
        <f>$M$6</f>
        <v>2024-2025</v>
      </c>
      <c r="N443" s="54"/>
      <c r="O443" s="54"/>
      <c r="P443" s="54"/>
      <c r="Q443" s="54"/>
    </row>
    <row r="444" spans="1:21" ht="11.85" customHeight="1" x14ac:dyDescent="0.2">
      <c r="C444" s="5" t="str">
        <f>$C$7</f>
        <v>2020-2021</v>
      </c>
      <c r="D444" s="5"/>
      <c r="E444" s="5" t="str">
        <f>$E$7</f>
        <v>2021-2022</v>
      </c>
      <c r="F444" s="5"/>
      <c r="G444" s="5" t="str">
        <f>$G$7</f>
        <v>2022-2023</v>
      </c>
      <c r="H444" s="5"/>
      <c r="I444" s="5" t="s">
        <v>9</v>
      </c>
      <c r="J444" s="5"/>
      <c r="K444" s="5" t="str">
        <f>+$K$7</f>
        <v>PROJECTED</v>
      </c>
      <c r="L444" s="6"/>
      <c r="M444" s="5">
        <f>$M$7</f>
        <v>0</v>
      </c>
      <c r="N444" s="6"/>
      <c r="O444" s="5" t="str">
        <f>$O$7</f>
        <v>2024-2025</v>
      </c>
      <c r="P444" s="6"/>
      <c r="Q444" s="5" t="str">
        <f>$Q$7</f>
        <v>APPROVED</v>
      </c>
    </row>
    <row r="445" spans="1:21" ht="11.85" customHeight="1" x14ac:dyDescent="0.2">
      <c r="A445" s="7" t="s">
        <v>273</v>
      </c>
      <c r="C445" s="8" t="s">
        <v>12</v>
      </c>
      <c r="D445" s="5"/>
      <c r="E445" s="8" t="s">
        <v>12</v>
      </c>
      <c r="F445" s="5"/>
      <c r="G445" s="8" t="s">
        <v>12</v>
      </c>
      <c r="H445" s="5"/>
      <c r="I445" s="8" t="s">
        <v>13</v>
      </c>
      <c r="J445" s="5"/>
      <c r="K445" s="8" t="s">
        <v>13</v>
      </c>
      <c r="L445" s="6"/>
      <c r="M445" s="8" t="str">
        <f>$M$8</f>
        <v>BASE</v>
      </c>
      <c r="N445" s="6"/>
      <c r="O445" s="8" t="str">
        <f>$O$8</f>
        <v>SUPPLEMENTAL</v>
      </c>
      <c r="P445" s="6"/>
      <c r="Q445" s="8" t="str">
        <f>$Q$8</f>
        <v>BUDGET</v>
      </c>
    </row>
    <row r="446" spans="1:21" ht="11.85" customHeight="1" x14ac:dyDescent="0.2">
      <c r="L446" s="9"/>
      <c r="N446" s="9"/>
      <c r="P446" s="9"/>
    </row>
    <row r="447" spans="1:21" ht="11.85" hidden="1" customHeight="1" x14ac:dyDescent="0.2">
      <c r="A447" s="3" t="s">
        <v>323</v>
      </c>
      <c r="C447" s="2">
        <v>0</v>
      </c>
      <c r="E447" s="2">
        <v>0</v>
      </c>
      <c r="G447" s="2">
        <v>0</v>
      </c>
      <c r="I447" s="2">
        <v>0</v>
      </c>
      <c r="K447" s="2">
        <v>0</v>
      </c>
      <c r="L447" s="9"/>
      <c r="M447" s="2">
        <v>0</v>
      </c>
      <c r="N447" s="9"/>
      <c r="O447" s="2">
        <v>0</v>
      </c>
      <c r="P447" s="9"/>
      <c r="Q447" s="2">
        <f>M447+O447</f>
        <v>0</v>
      </c>
      <c r="T447" s="11"/>
    </row>
    <row r="448" spans="1:21" ht="11.85" customHeight="1" x14ac:dyDescent="0.2">
      <c r="A448" s="3" t="s">
        <v>324</v>
      </c>
      <c r="C448" s="2">
        <v>0</v>
      </c>
      <c r="E448" s="2">
        <v>0</v>
      </c>
      <c r="G448" s="2">
        <v>0</v>
      </c>
      <c r="I448" s="2">
        <v>0</v>
      </c>
      <c r="K448" s="2">
        <v>0</v>
      </c>
      <c r="L448" s="9"/>
      <c r="M448" s="2">
        <v>0</v>
      </c>
      <c r="N448" s="9"/>
      <c r="O448" s="2">
        <v>0</v>
      </c>
      <c r="P448" s="9"/>
      <c r="Q448" s="2">
        <v>0</v>
      </c>
      <c r="T448" s="11"/>
    </row>
    <row r="449" spans="1:21" ht="11.85" hidden="1" customHeight="1" x14ac:dyDescent="0.2">
      <c r="A449" s="3" t="s">
        <v>325</v>
      </c>
      <c r="C449" s="2">
        <v>0</v>
      </c>
      <c r="E449" s="2">
        <v>0</v>
      </c>
      <c r="G449" s="2">
        <v>0</v>
      </c>
      <c r="I449" s="2">
        <v>0</v>
      </c>
      <c r="K449" s="2">
        <v>0</v>
      </c>
      <c r="L449" s="9"/>
      <c r="M449" s="2">
        <v>0</v>
      </c>
      <c r="N449" s="9"/>
      <c r="O449" s="2">
        <v>0</v>
      </c>
      <c r="P449" s="9"/>
      <c r="Q449" s="2">
        <f>M449+O449</f>
        <v>0</v>
      </c>
      <c r="T449" s="11"/>
    </row>
    <row r="450" spans="1:21" ht="11.85" customHeight="1" x14ac:dyDescent="0.2">
      <c r="A450" s="3" t="s">
        <v>326</v>
      </c>
      <c r="C450" s="2">
        <v>0</v>
      </c>
      <c r="E450" s="2">
        <v>0</v>
      </c>
      <c r="G450" s="2">
        <v>0</v>
      </c>
      <c r="I450" s="2">
        <v>0</v>
      </c>
      <c r="K450" s="2">
        <v>0</v>
      </c>
      <c r="L450" s="9"/>
      <c r="M450" s="2">
        <v>0</v>
      </c>
      <c r="N450" s="9"/>
      <c r="O450" s="2">
        <v>0</v>
      </c>
      <c r="P450" s="9"/>
      <c r="Q450" s="2">
        <f>M450+O450</f>
        <v>0</v>
      </c>
      <c r="T450" s="11"/>
    </row>
    <row r="451" spans="1:21" ht="11.85" customHeight="1" x14ac:dyDescent="0.2">
      <c r="A451" s="3" t="s">
        <v>327</v>
      </c>
      <c r="C451" s="12">
        <v>0</v>
      </c>
      <c r="E451" s="12">
        <v>0</v>
      </c>
      <c r="G451" s="12">
        <v>0</v>
      </c>
      <c r="I451" s="12">
        <v>0</v>
      </c>
      <c r="K451" s="12">
        <v>0</v>
      </c>
      <c r="L451" s="9"/>
      <c r="M451" s="12">
        <v>0</v>
      </c>
      <c r="N451" s="9"/>
      <c r="O451" s="12">
        <v>0</v>
      </c>
      <c r="P451" s="9"/>
      <c r="Q451" s="12">
        <f>M451+O451</f>
        <v>0</v>
      </c>
      <c r="T451" s="11"/>
    </row>
    <row r="452" spans="1:21" ht="11.85" customHeight="1" x14ac:dyDescent="0.2">
      <c r="A452" s="3" t="s">
        <v>328</v>
      </c>
      <c r="C452" s="2">
        <f>SUM(C416:C432)+SUM(C447:C451)</f>
        <v>74000.159999999974</v>
      </c>
      <c r="E452" s="2">
        <f>SUM(E416:E432)+SUM(E447:E451)</f>
        <v>78904.03</v>
      </c>
      <c r="G452" s="2">
        <f>SUM(G416:G432)+SUM(G447:G451)</f>
        <v>92211.4</v>
      </c>
      <c r="I452" s="2">
        <f>SUM(I416:I432)+SUM(I447:I451)</f>
        <v>87700</v>
      </c>
      <c r="K452" s="2">
        <f>SUM(K416:K432)+SUM(K447:K451)</f>
        <v>92200</v>
      </c>
      <c r="L452" s="9"/>
      <c r="M452" s="2">
        <f>SUM(M416:M432)+SUM(M447:M451)</f>
        <v>92200</v>
      </c>
      <c r="N452" s="9"/>
      <c r="O452" s="24">
        <f>SUM(O416:O432)+SUM(O447:O451)</f>
        <v>0</v>
      </c>
      <c r="P452" s="9"/>
      <c r="Q452" s="2">
        <f>SUM(Q416:Q432)+SUM(Q447:Q451)</f>
        <v>92200</v>
      </c>
      <c r="T452" s="14"/>
    </row>
    <row r="453" spans="1:21" ht="11.85" customHeight="1" x14ac:dyDescent="0.2">
      <c r="L453" s="9"/>
      <c r="N453" s="9"/>
      <c r="P453" s="9"/>
    </row>
    <row r="454" spans="1:21" ht="11.85" customHeight="1" x14ac:dyDescent="0.2">
      <c r="A454" s="3" t="s">
        <v>329</v>
      </c>
      <c r="C454" s="2">
        <v>0</v>
      </c>
      <c r="E454" s="2">
        <v>0</v>
      </c>
      <c r="G454" s="2">
        <v>0</v>
      </c>
      <c r="I454" s="2">
        <v>0</v>
      </c>
      <c r="K454" s="2">
        <v>0</v>
      </c>
      <c r="L454" s="9"/>
      <c r="M454" s="2">
        <v>0</v>
      </c>
      <c r="N454" s="9"/>
      <c r="O454" s="2">
        <v>100000</v>
      </c>
      <c r="P454" s="9"/>
      <c r="Q454" s="2">
        <f>M454+O454</f>
        <v>100000</v>
      </c>
      <c r="T454" s="11"/>
    </row>
    <row r="455" spans="1:21" ht="11.85" customHeight="1" x14ac:dyDescent="0.2">
      <c r="A455" s="3" t="s">
        <v>330</v>
      </c>
      <c r="C455" s="12">
        <v>0</v>
      </c>
      <c r="E455" s="12">
        <v>1534.49</v>
      </c>
      <c r="G455" s="12">
        <v>114591.61</v>
      </c>
      <c r="I455" s="12">
        <v>0</v>
      </c>
      <c r="K455" s="12">
        <v>0</v>
      </c>
      <c r="L455" s="9"/>
      <c r="M455" s="12">
        <v>0</v>
      </c>
      <c r="N455" s="9"/>
      <c r="O455" s="12">
        <v>0</v>
      </c>
      <c r="P455" s="9"/>
      <c r="Q455" s="12">
        <f>M455+O455</f>
        <v>0</v>
      </c>
      <c r="T455" s="11"/>
    </row>
    <row r="456" spans="1:21" ht="11.85" customHeight="1" x14ac:dyDescent="0.2">
      <c r="A456" s="3" t="s">
        <v>331</v>
      </c>
      <c r="C456" s="2">
        <f>SUM(C454:C455)</f>
        <v>0</v>
      </c>
      <c r="E456" s="2">
        <f>SUM(E454:E455)</f>
        <v>1534.49</v>
      </c>
      <c r="G456" s="2">
        <f>SUM(G454:G455)</f>
        <v>114591.61</v>
      </c>
      <c r="I456" s="2">
        <f>SUM(I454:I455)</f>
        <v>0</v>
      </c>
      <c r="K456" s="2">
        <f>SUM(K454:K455)</f>
        <v>0</v>
      </c>
      <c r="L456" s="9"/>
      <c r="M456" s="2">
        <f>SUM(M454:M455)</f>
        <v>0</v>
      </c>
      <c r="N456" s="9"/>
      <c r="O456" s="2">
        <f>SUM(O454:O455)</f>
        <v>100000</v>
      </c>
      <c r="P456" s="9"/>
      <c r="Q456" s="2">
        <f>SUM(Q454:Q455)</f>
        <v>100000</v>
      </c>
    </row>
    <row r="457" spans="1:21" ht="11.85" customHeight="1" x14ac:dyDescent="0.2">
      <c r="L457" s="9"/>
      <c r="N457" s="9"/>
      <c r="P457" s="9"/>
    </row>
    <row r="458" spans="1:21" ht="11.85" customHeight="1" x14ac:dyDescent="0.2">
      <c r="A458" s="10" t="s">
        <v>332</v>
      </c>
      <c r="L458" s="9"/>
      <c r="N458" s="9"/>
      <c r="P458" s="9"/>
    </row>
    <row r="459" spans="1:21" ht="11.85" customHeight="1" x14ac:dyDescent="0.2">
      <c r="A459" s="3" t="s">
        <v>333</v>
      </c>
      <c r="C459" s="2">
        <v>142000</v>
      </c>
      <c r="E459" s="2">
        <v>252000</v>
      </c>
      <c r="G459" s="2">
        <v>1175300</v>
      </c>
      <c r="I459" s="2">
        <v>0</v>
      </c>
      <c r="K459" s="2">
        <v>1000000</v>
      </c>
      <c r="L459" s="9"/>
      <c r="M459" s="2">
        <v>0</v>
      </c>
      <c r="N459" s="9"/>
      <c r="O459" s="2">
        <v>0</v>
      </c>
      <c r="P459" s="9"/>
      <c r="Q459" s="2">
        <f>+M459+O459</f>
        <v>0</v>
      </c>
    </row>
    <row r="460" spans="1:21" ht="11.85" customHeight="1" x14ac:dyDescent="0.2">
      <c r="A460" s="3" t="s">
        <v>334</v>
      </c>
      <c r="C460" s="2">
        <v>0</v>
      </c>
      <c r="E460" s="2">
        <v>0</v>
      </c>
      <c r="G460" s="2">
        <v>0</v>
      </c>
      <c r="I460" s="2">
        <v>0</v>
      </c>
      <c r="K460" s="2">
        <v>0</v>
      </c>
      <c r="L460" s="9"/>
      <c r="M460" s="2">
        <v>0</v>
      </c>
      <c r="N460" s="9"/>
      <c r="O460" s="2">
        <v>0</v>
      </c>
      <c r="P460" s="9"/>
      <c r="Q460" s="2">
        <f>+M460+O460</f>
        <v>0</v>
      </c>
    </row>
    <row r="461" spans="1:21" ht="11.85" customHeight="1" x14ac:dyDescent="0.2">
      <c r="A461" s="3" t="s">
        <v>335</v>
      </c>
      <c r="C461" s="12">
        <v>0</v>
      </c>
      <c r="E461" s="12">
        <v>0</v>
      </c>
      <c r="G461" s="12">
        <v>0</v>
      </c>
      <c r="I461" s="12">
        <v>0</v>
      </c>
      <c r="K461" s="12">
        <v>0</v>
      </c>
      <c r="L461" s="9"/>
      <c r="M461" s="12">
        <v>0</v>
      </c>
      <c r="N461" s="9"/>
      <c r="O461" s="12">
        <v>0</v>
      </c>
      <c r="P461" s="9"/>
      <c r="Q461" s="12">
        <f>+M461+O461</f>
        <v>0</v>
      </c>
      <c r="T461" s="11"/>
    </row>
    <row r="462" spans="1:21" ht="11.85" customHeight="1" x14ac:dyDescent="0.2">
      <c r="A462" s="3" t="s">
        <v>336</v>
      </c>
      <c r="C462" s="2">
        <f>SUM(C459:C461)</f>
        <v>142000</v>
      </c>
      <c r="E462" s="2">
        <f>SUM(E459:E461)</f>
        <v>252000</v>
      </c>
      <c r="G462" s="2">
        <f>SUM(G459:G461)</f>
        <v>1175300</v>
      </c>
      <c r="I462" s="2">
        <f>SUM(I459:I461)</f>
        <v>0</v>
      </c>
      <c r="K462" s="2">
        <f>SUM(K459:K461)</f>
        <v>1000000</v>
      </c>
      <c r="L462" s="9"/>
      <c r="M462" s="2">
        <f>SUM(M459:M461)</f>
        <v>0</v>
      </c>
      <c r="N462" s="9"/>
      <c r="O462" s="2">
        <f>SUM(O459:O461)</f>
        <v>0</v>
      </c>
      <c r="P462" s="9"/>
      <c r="Q462" s="2">
        <f>SUM(Q459:Q461)</f>
        <v>0</v>
      </c>
    </row>
    <row r="463" spans="1:21" ht="11.85" customHeight="1" x14ac:dyDescent="0.2">
      <c r="L463" s="9"/>
      <c r="N463" s="9"/>
      <c r="P463" s="9"/>
    </row>
    <row r="464" spans="1:21" ht="11.85" customHeight="1" x14ac:dyDescent="0.2">
      <c r="A464" s="3" t="s">
        <v>337</v>
      </c>
      <c r="C464" s="2">
        <f>C393+C413+C452+C456+C462</f>
        <v>737152.01</v>
      </c>
      <c r="E464" s="2">
        <f>E393+E413+E452+E456+E462</f>
        <v>901352.34000000008</v>
      </c>
      <c r="G464" s="2">
        <f>G393+G413+G452+G456+G462</f>
        <v>1995172.83</v>
      </c>
      <c r="I464" s="2">
        <f>I393+I413+I452+I456+I462</f>
        <v>716427</v>
      </c>
      <c r="K464" s="2">
        <f>K393+K413+K452+K456+K462</f>
        <v>1713556</v>
      </c>
      <c r="L464" s="9"/>
      <c r="M464" s="2">
        <f>M393+M413+M452+M456+M462</f>
        <v>630132</v>
      </c>
      <c r="N464" s="9"/>
      <c r="O464" s="24">
        <f>O393+O413+O452+O456+O462</f>
        <v>100000</v>
      </c>
      <c r="P464" s="9"/>
      <c r="Q464" s="2">
        <f>Q393+Q413+Q452+Q456+Q462</f>
        <v>730132</v>
      </c>
      <c r="T464" s="11"/>
      <c r="U464" s="9"/>
    </row>
    <row r="465" spans="12:16" ht="11.85" customHeight="1" x14ac:dyDescent="0.2">
      <c r="L465" s="9"/>
      <c r="N465" s="9"/>
      <c r="P465" s="9"/>
    </row>
    <row r="466" spans="12:16" ht="11.85" customHeight="1" x14ac:dyDescent="0.2">
      <c r="L466" s="9"/>
      <c r="N466" s="9"/>
      <c r="P466" s="9"/>
    </row>
    <row r="467" spans="12:16" ht="11.85" customHeight="1" x14ac:dyDescent="0.2">
      <c r="L467" s="9"/>
      <c r="N467" s="9"/>
      <c r="P467" s="9"/>
    </row>
    <row r="468" spans="12:16" ht="11.85" customHeight="1" x14ac:dyDescent="0.2">
      <c r="L468" s="9"/>
      <c r="N468" s="9"/>
      <c r="P468" s="9"/>
    </row>
    <row r="469" spans="12:16" ht="11.85" customHeight="1" x14ac:dyDescent="0.2">
      <c r="L469" s="9"/>
      <c r="N469" s="9"/>
      <c r="P469" s="9"/>
    </row>
    <row r="470" spans="12:16" ht="11.85" customHeight="1" x14ac:dyDescent="0.2">
      <c r="L470" s="9"/>
      <c r="N470" s="9"/>
      <c r="P470" s="9"/>
    </row>
    <row r="471" spans="12:16" ht="11.85" customHeight="1" x14ac:dyDescent="0.2">
      <c r="L471" s="9"/>
      <c r="N471" s="9"/>
      <c r="P471" s="9"/>
    </row>
    <row r="472" spans="12:16" ht="11.85" customHeight="1" x14ac:dyDescent="0.2">
      <c r="L472" s="9"/>
      <c r="N472" s="9"/>
      <c r="P472" s="9"/>
    </row>
    <row r="473" spans="12:16" ht="11.85" customHeight="1" x14ac:dyDescent="0.2">
      <c r="L473" s="9"/>
      <c r="N473" s="9"/>
      <c r="P473" s="9"/>
    </row>
    <row r="474" spans="12:16" ht="11.85" customHeight="1" x14ac:dyDescent="0.2">
      <c r="L474" s="9"/>
      <c r="N474" s="9"/>
      <c r="P474" s="9"/>
    </row>
    <row r="475" spans="12:16" ht="11.85" customHeight="1" x14ac:dyDescent="0.2">
      <c r="L475" s="9"/>
      <c r="N475" s="9"/>
      <c r="P475" s="9"/>
    </row>
    <row r="476" spans="12:16" ht="11.85" customHeight="1" x14ac:dyDescent="0.2">
      <c r="L476" s="9"/>
      <c r="N476" s="9"/>
      <c r="P476" s="9"/>
    </row>
    <row r="477" spans="12:16" ht="11.85" customHeight="1" x14ac:dyDescent="0.2">
      <c r="L477" s="9"/>
      <c r="N477" s="9"/>
      <c r="P477" s="9"/>
    </row>
    <row r="478" spans="12:16" ht="11.85" customHeight="1" x14ac:dyDescent="0.2">
      <c r="L478" s="9"/>
      <c r="N478" s="9"/>
      <c r="P478" s="9"/>
    </row>
    <row r="479" spans="12:16" ht="11.85" customHeight="1" x14ac:dyDescent="0.2">
      <c r="L479" s="9"/>
      <c r="N479" s="9"/>
      <c r="P479" s="9"/>
    </row>
    <row r="480" spans="12:16" ht="11.85" customHeight="1" x14ac:dyDescent="0.2">
      <c r="L480" s="9"/>
      <c r="N480" s="9"/>
      <c r="P480" s="9"/>
    </row>
    <row r="481" spans="12:16" ht="11.85" customHeight="1" x14ac:dyDescent="0.2">
      <c r="L481" s="9"/>
      <c r="N481" s="9"/>
      <c r="P481" s="9"/>
    </row>
    <row r="482" spans="12:16" ht="11.85" customHeight="1" x14ac:dyDescent="0.2">
      <c r="L482" s="9"/>
      <c r="N482" s="9"/>
      <c r="P482" s="9"/>
    </row>
    <row r="483" spans="12:16" ht="11.85" customHeight="1" x14ac:dyDescent="0.2">
      <c r="L483" s="9"/>
      <c r="N483" s="9"/>
      <c r="P483" s="9"/>
    </row>
    <row r="484" spans="12:16" ht="11.85" customHeight="1" x14ac:dyDescent="0.2">
      <c r="L484" s="9"/>
      <c r="N484" s="9"/>
      <c r="P484" s="9"/>
    </row>
    <row r="485" spans="12:16" ht="11.85" customHeight="1" x14ac:dyDescent="0.2">
      <c r="L485" s="9"/>
      <c r="N485" s="9"/>
      <c r="P485" s="9"/>
    </row>
    <row r="486" spans="12:16" ht="11.85" customHeight="1" x14ac:dyDescent="0.2">
      <c r="L486" s="9"/>
      <c r="N486" s="9"/>
      <c r="P486" s="9"/>
    </row>
    <row r="487" spans="12:16" ht="11.85" customHeight="1" x14ac:dyDescent="0.2">
      <c r="L487" s="9"/>
      <c r="N487" s="9"/>
      <c r="P487" s="9"/>
    </row>
    <row r="488" spans="12:16" ht="11.85" customHeight="1" x14ac:dyDescent="0.2">
      <c r="L488" s="9"/>
      <c r="N488" s="9"/>
      <c r="P488" s="9"/>
    </row>
    <row r="489" spans="12:16" ht="11.85" customHeight="1" x14ac:dyDescent="0.2">
      <c r="L489" s="9"/>
      <c r="N489" s="9"/>
      <c r="P489" s="9"/>
    </row>
    <row r="490" spans="12:16" ht="11.85" customHeight="1" x14ac:dyDescent="0.2">
      <c r="L490" s="9"/>
      <c r="N490" s="9"/>
      <c r="P490" s="9"/>
    </row>
    <row r="491" spans="12:16" ht="11.85" customHeight="1" x14ac:dyDescent="0.2">
      <c r="L491" s="9"/>
      <c r="N491" s="9"/>
      <c r="P491" s="9"/>
    </row>
    <row r="492" spans="12:16" ht="11.85" customHeight="1" x14ac:dyDescent="0.2">
      <c r="L492" s="9"/>
      <c r="N492" s="9"/>
      <c r="P492" s="9"/>
    </row>
    <row r="493" spans="12:16" ht="11.85" customHeight="1" x14ac:dyDescent="0.2">
      <c r="L493" s="9"/>
      <c r="N493" s="9"/>
      <c r="P493" s="9"/>
    </row>
    <row r="494" spans="12:16" ht="11.85" customHeight="1" x14ac:dyDescent="0.2">
      <c r="L494" s="9"/>
      <c r="N494" s="9"/>
      <c r="P494" s="9"/>
    </row>
    <row r="495" spans="12:16" ht="11.85" customHeight="1" x14ac:dyDescent="0.2">
      <c r="L495" s="9"/>
      <c r="N495" s="9"/>
      <c r="P495" s="9"/>
    </row>
    <row r="496" spans="12:16" ht="11.85" customHeight="1" x14ac:dyDescent="0.2">
      <c r="L496" s="9"/>
      <c r="N496" s="9"/>
      <c r="P496" s="9"/>
    </row>
    <row r="497" spans="1:17" ht="11.85" customHeight="1" x14ac:dyDescent="0.2">
      <c r="L497" s="9"/>
      <c r="N497" s="9"/>
      <c r="P497" s="9"/>
    </row>
    <row r="498" spans="1:17" ht="11.85" customHeight="1" x14ac:dyDescent="0.2">
      <c r="L498" s="9"/>
      <c r="N498" s="9"/>
      <c r="P498" s="9"/>
    </row>
    <row r="499" spans="1:17" ht="11.85" customHeight="1" x14ac:dyDescent="0.2">
      <c r="L499" s="9"/>
      <c r="N499" s="9"/>
      <c r="P499" s="9"/>
    </row>
    <row r="500" spans="1:17" ht="11.85" customHeight="1" x14ac:dyDescent="0.2">
      <c r="L500" s="9"/>
      <c r="N500" s="9"/>
      <c r="P500" s="9"/>
    </row>
    <row r="501" spans="1:17" ht="11.85" customHeight="1" x14ac:dyDescent="0.2">
      <c r="L501" s="9"/>
      <c r="N501" s="9"/>
      <c r="P501" s="9"/>
    </row>
    <row r="502" spans="1:17" ht="11.85" customHeight="1" x14ac:dyDescent="0.2">
      <c r="L502" s="9"/>
      <c r="N502" s="9"/>
      <c r="P502" s="9"/>
    </row>
    <row r="503" spans="1:17" ht="11.85" customHeight="1" x14ac:dyDescent="0.2">
      <c r="A503" s="1"/>
      <c r="B503" s="1"/>
      <c r="E503" s="2" t="str">
        <f>$E$1</f>
        <v>CITY OF BRADY</v>
      </c>
    </row>
    <row r="504" spans="1:17" ht="11.85" customHeight="1" x14ac:dyDescent="0.2">
      <c r="E504" s="2" t="str">
        <f>$E$2</f>
        <v>BUDGET REPORT</v>
      </c>
    </row>
    <row r="505" spans="1:17" ht="11.85" customHeight="1" x14ac:dyDescent="0.2">
      <c r="E505" s="2" t="str">
        <f>$E$3</f>
        <v>FISCAL YEAR 2024 - 2025</v>
      </c>
    </row>
    <row r="506" spans="1:17" ht="11.85" customHeight="1" x14ac:dyDescent="0.2">
      <c r="A506" s="3" t="s">
        <v>3</v>
      </c>
    </row>
    <row r="507" spans="1:17" ht="11.85" customHeight="1" x14ac:dyDescent="0.2">
      <c r="A507" s="3" t="s">
        <v>338</v>
      </c>
    </row>
    <row r="508" spans="1:17" ht="11.85" customHeight="1" x14ac:dyDescent="0.2">
      <c r="I508" s="53" t="str">
        <f>+I6</f>
        <v>(----- 2023-2024------)</v>
      </c>
      <c r="J508" s="53"/>
      <c r="K508" s="53"/>
      <c r="L508" s="6"/>
      <c r="M508" s="54" t="str">
        <f>$M$6</f>
        <v>2024-2025</v>
      </c>
      <c r="N508" s="54"/>
      <c r="O508" s="54"/>
      <c r="P508" s="54"/>
      <c r="Q508" s="54"/>
    </row>
    <row r="509" spans="1:17" ht="11.85" customHeight="1" x14ac:dyDescent="0.2">
      <c r="C509" s="5" t="str">
        <f>$C$7</f>
        <v>2020-2021</v>
      </c>
      <c r="D509" s="5"/>
      <c r="E509" s="5" t="str">
        <f>$E$7</f>
        <v>2021-2022</v>
      </c>
      <c r="F509" s="5"/>
      <c r="G509" s="5" t="str">
        <f>$G$7</f>
        <v>2022-2023</v>
      </c>
      <c r="H509" s="5"/>
      <c r="I509" s="5" t="s">
        <v>9</v>
      </c>
      <c r="J509" s="5"/>
      <c r="K509" s="5" t="str">
        <f>+$K$7</f>
        <v>PROJECTED</v>
      </c>
      <c r="L509" s="6"/>
      <c r="M509" s="5">
        <f>$M$7</f>
        <v>0</v>
      </c>
      <c r="N509" s="6"/>
      <c r="O509" s="5" t="str">
        <f>$O$7</f>
        <v>2024-2025</v>
      </c>
      <c r="P509" s="6"/>
      <c r="Q509" s="5" t="str">
        <f>$Q$7</f>
        <v>APPROVED</v>
      </c>
    </row>
    <row r="510" spans="1:17" ht="11.85" customHeight="1" x14ac:dyDescent="0.2">
      <c r="A510" s="7" t="s">
        <v>273</v>
      </c>
      <c r="C510" s="8" t="s">
        <v>12</v>
      </c>
      <c r="D510" s="5"/>
      <c r="E510" s="8" t="s">
        <v>12</v>
      </c>
      <c r="F510" s="5"/>
      <c r="G510" s="8" t="s">
        <v>12</v>
      </c>
      <c r="H510" s="5"/>
      <c r="I510" s="8" t="s">
        <v>13</v>
      </c>
      <c r="J510" s="5"/>
      <c r="K510" s="8" t="s">
        <v>13</v>
      </c>
      <c r="L510" s="6"/>
      <c r="M510" s="8" t="str">
        <f>$M$8</f>
        <v>BASE</v>
      </c>
      <c r="N510" s="6"/>
      <c r="O510" s="8" t="str">
        <f>$O$8</f>
        <v>SUPPLEMENTAL</v>
      </c>
      <c r="P510" s="6"/>
      <c r="Q510" s="8" t="str">
        <f>$Q$8</f>
        <v>BUDGET</v>
      </c>
    </row>
    <row r="511" spans="1:17" ht="11.85" customHeight="1" x14ac:dyDescent="0.2"/>
    <row r="512" spans="1:17" ht="11.85" customHeight="1" x14ac:dyDescent="0.2">
      <c r="A512" s="10" t="s">
        <v>274</v>
      </c>
    </row>
    <row r="513" spans="1:21" ht="11.85" customHeight="1" x14ac:dyDescent="0.2">
      <c r="A513" s="3" t="s">
        <v>339</v>
      </c>
      <c r="C513" s="2">
        <v>84325.55</v>
      </c>
      <c r="E513" s="2">
        <v>84066</v>
      </c>
      <c r="G513" s="2">
        <v>87550.93</v>
      </c>
      <c r="I513" s="2">
        <v>106631</v>
      </c>
      <c r="K513" s="2">
        <v>105631</v>
      </c>
      <c r="L513" s="9"/>
      <c r="M513" s="2">
        <v>109231</v>
      </c>
      <c r="N513" s="9"/>
      <c r="O513" s="2">
        <v>0</v>
      </c>
      <c r="P513" s="9"/>
      <c r="Q513" s="2">
        <f t="shared" ref="Q513:Q521" si="20">M513+O513</f>
        <v>109231</v>
      </c>
      <c r="T513" s="11"/>
    </row>
    <row r="514" spans="1:21" ht="11.85" hidden="1" customHeight="1" x14ac:dyDescent="0.2">
      <c r="A514" s="3" t="s">
        <v>340</v>
      </c>
      <c r="C514" s="2">
        <v>0</v>
      </c>
      <c r="E514" s="2">
        <v>0</v>
      </c>
      <c r="G514" s="2">
        <v>0</v>
      </c>
      <c r="I514" s="2">
        <v>0</v>
      </c>
      <c r="K514" s="2">
        <v>0</v>
      </c>
      <c r="L514" s="9"/>
      <c r="M514" s="2">
        <v>0</v>
      </c>
      <c r="N514" s="9"/>
      <c r="O514" s="2">
        <v>0</v>
      </c>
      <c r="P514" s="9"/>
      <c r="Q514" s="2">
        <f t="shared" si="20"/>
        <v>0</v>
      </c>
      <c r="T514" s="11"/>
    </row>
    <row r="515" spans="1:21" ht="11.85" customHeight="1" x14ac:dyDescent="0.2">
      <c r="A515" s="3" t="s">
        <v>341</v>
      </c>
      <c r="C515" s="2">
        <v>186.22</v>
      </c>
      <c r="E515" s="2">
        <v>97.81</v>
      </c>
      <c r="G515" s="2">
        <v>399.49</v>
      </c>
      <c r="I515" s="2">
        <v>500</v>
      </c>
      <c r="K515" s="2">
        <v>1500</v>
      </c>
      <c r="L515" s="9"/>
      <c r="M515" s="2">
        <v>1500</v>
      </c>
      <c r="N515" s="9"/>
      <c r="O515" s="2">
        <v>0</v>
      </c>
      <c r="P515" s="9"/>
      <c r="Q515" s="2">
        <f t="shared" si="20"/>
        <v>1500</v>
      </c>
      <c r="T515" s="11"/>
    </row>
    <row r="516" spans="1:21" ht="11.85" hidden="1" customHeight="1" x14ac:dyDescent="0.2">
      <c r="A516" s="3" t="s">
        <v>342</v>
      </c>
      <c r="C516" s="2">
        <v>0</v>
      </c>
      <c r="E516" s="2">
        <v>0</v>
      </c>
      <c r="G516" s="2">
        <v>0</v>
      </c>
      <c r="I516" s="2">
        <v>0</v>
      </c>
      <c r="K516" s="2">
        <v>0</v>
      </c>
      <c r="L516" s="9"/>
      <c r="M516" s="2">
        <v>0</v>
      </c>
      <c r="N516" s="9"/>
      <c r="O516" s="2">
        <v>0</v>
      </c>
      <c r="P516" s="9"/>
      <c r="Q516" s="2">
        <f t="shared" si="20"/>
        <v>0</v>
      </c>
      <c r="T516" s="11"/>
    </row>
    <row r="517" spans="1:21" ht="11.85" customHeight="1" x14ac:dyDescent="0.2">
      <c r="A517" s="3" t="s">
        <v>343</v>
      </c>
      <c r="C517" s="2">
        <v>24177.09</v>
      </c>
      <c r="E517" s="2">
        <v>21588.959999999999</v>
      </c>
      <c r="G517" s="2">
        <v>20053.900000000001</v>
      </c>
      <c r="I517" s="2">
        <v>22920</v>
      </c>
      <c r="K517" s="2">
        <f>22920-4414</f>
        <v>18506</v>
      </c>
      <c r="L517" s="9"/>
      <c r="M517" s="2">
        <v>20283</v>
      </c>
      <c r="N517" s="9"/>
      <c r="O517" s="2">
        <v>0</v>
      </c>
      <c r="P517" s="9"/>
      <c r="Q517" s="2">
        <f t="shared" si="20"/>
        <v>20283</v>
      </c>
      <c r="T517" s="11"/>
    </row>
    <row r="518" spans="1:21" ht="11.85" customHeight="1" x14ac:dyDescent="0.2">
      <c r="A518" s="3" t="s">
        <v>344</v>
      </c>
      <c r="C518" s="2">
        <v>7804.03</v>
      </c>
      <c r="E518" s="2">
        <v>7499.33</v>
      </c>
      <c r="G518" s="2">
        <v>7914.73</v>
      </c>
      <c r="I518" s="2">
        <v>8676</v>
      </c>
      <c r="K518" s="2">
        <v>8676</v>
      </c>
      <c r="L518" s="9"/>
      <c r="M518" s="2">
        <v>8812</v>
      </c>
      <c r="N518" s="9"/>
      <c r="O518" s="2">
        <v>0</v>
      </c>
      <c r="P518" s="9"/>
      <c r="Q518" s="2">
        <f t="shared" si="20"/>
        <v>8812</v>
      </c>
      <c r="T518" s="11"/>
    </row>
    <row r="519" spans="1:21" ht="11.85" customHeight="1" x14ac:dyDescent="0.2">
      <c r="A519" s="3" t="s">
        <v>345</v>
      </c>
      <c r="C519" s="2">
        <v>1458.29</v>
      </c>
      <c r="E519" s="2">
        <v>1614.13</v>
      </c>
      <c r="G519" s="2">
        <v>1766.27</v>
      </c>
      <c r="I519" s="2">
        <v>2031</v>
      </c>
      <c r="K519" s="2">
        <v>2031</v>
      </c>
      <c r="L519" s="9"/>
      <c r="M519" s="2">
        <v>1599</v>
      </c>
      <c r="N519" s="9"/>
      <c r="O519" s="2">
        <v>0</v>
      </c>
      <c r="P519" s="9"/>
      <c r="Q519" s="2">
        <f t="shared" si="20"/>
        <v>1599</v>
      </c>
      <c r="T519" s="11"/>
    </row>
    <row r="520" spans="1:21" ht="11.85" customHeight="1" x14ac:dyDescent="0.2">
      <c r="A520" s="3" t="s">
        <v>346</v>
      </c>
      <c r="C520" s="2">
        <v>756.26</v>
      </c>
      <c r="E520" s="2">
        <v>72.430000000000007</v>
      </c>
      <c r="G520" s="2">
        <v>31.21</v>
      </c>
      <c r="I520" s="2">
        <v>335</v>
      </c>
      <c r="K520" s="2">
        <v>335</v>
      </c>
      <c r="L520" s="9"/>
      <c r="M520" s="2">
        <v>360</v>
      </c>
      <c r="N520" s="9"/>
      <c r="O520" s="2">
        <v>0</v>
      </c>
      <c r="P520" s="9"/>
      <c r="Q520" s="2">
        <f t="shared" si="20"/>
        <v>360</v>
      </c>
      <c r="T520" s="11"/>
    </row>
    <row r="521" spans="1:21" ht="11.85" customHeight="1" x14ac:dyDescent="0.2">
      <c r="A521" s="3" t="s">
        <v>347</v>
      </c>
      <c r="C521" s="12">
        <v>4878.6499999999996</v>
      </c>
      <c r="E521" s="12">
        <v>5649.44</v>
      </c>
      <c r="G521" s="12">
        <v>5758.59</v>
      </c>
      <c r="I521" s="12">
        <v>8356</v>
      </c>
      <c r="K521" s="12">
        <v>8356</v>
      </c>
      <c r="L521" s="9"/>
      <c r="M521" s="12">
        <v>8637</v>
      </c>
      <c r="N521" s="9"/>
      <c r="O521" s="12">
        <v>0</v>
      </c>
      <c r="P521" s="9"/>
      <c r="Q521" s="12">
        <f t="shared" si="20"/>
        <v>8637</v>
      </c>
      <c r="T521" s="11"/>
    </row>
    <row r="522" spans="1:21" ht="11.85" customHeight="1" x14ac:dyDescent="0.2">
      <c r="A522" s="3" t="s">
        <v>285</v>
      </c>
      <c r="C522" s="2">
        <f>SUM(C513:C521)</f>
        <v>123586.08999999998</v>
      </c>
      <c r="E522" s="2">
        <f>SUM(E513:E521)</f>
        <v>120588.09999999999</v>
      </c>
      <c r="G522" s="2">
        <f>SUM(G513:G521)</f>
        <v>123475.12000000001</v>
      </c>
      <c r="I522" s="2">
        <f>SUM(I513:I521)</f>
        <v>149449</v>
      </c>
      <c r="K522" s="2">
        <f>SUM(K513:K521)</f>
        <v>145035</v>
      </c>
      <c r="L522" s="9"/>
      <c r="M522" s="2">
        <f>SUM(M513:M521)</f>
        <v>150422</v>
      </c>
      <c r="N522" s="9"/>
      <c r="O522" s="2">
        <f>SUM(O513:O521)</f>
        <v>0</v>
      </c>
      <c r="P522" s="9"/>
      <c r="Q522" s="2">
        <f>SUM(Q513:Q521)</f>
        <v>150422</v>
      </c>
      <c r="R522" s="9"/>
      <c r="T522" s="14"/>
      <c r="U522" s="9"/>
    </row>
    <row r="523" spans="1:21" ht="11.85" customHeight="1" x14ac:dyDescent="0.2">
      <c r="L523" s="9"/>
      <c r="N523" s="9"/>
      <c r="P523" s="9"/>
    </row>
    <row r="524" spans="1:21" ht="11.85" customHeight="1" x14ac:dyDescent="0.2">
      <c r="A524" s="10" t="s">
        <v>286</v>
      </c>
      <c r="L524" s="9"/>
      <c r="N524" s="9"/>
      <c r="P524" s="9"/>
    </row>
    <row r="525" spans="1:21" ht="11.85" customHeight="1" x14ac:dyDescent="0.2">
      <c r="A525" s="3" t="s">
        <v>348</v>
      </c>
      <c r="C525" s="2">
        <v>378</v>
      </c>
      <c r="E525" s="2">
        <v>580.51</v>
      </c>
      <c r="G525" s="2">
        <v>395</v>
      </c>
      <c r="I525" s="2">
        <v>700</v>
      </c>
      <c r="K525" s="2">
        <v>700</v>
      </c>
      <c r="L525" s="9"/>
      <c r="M525" s="2">
        <v>700</v>
      </c>
      <c r="N525" s="9"/>
      <c r="O525" s="2">
        <v>0</v>
      </c>
      <c r="P525" s="9"/>
      <c r="Q525" s="2">
        <f t="shared" ref="Q525:Q537" si="21">M525+O525</f>
        <v>700</v>
      </c>
      <c r="T525" s="11"/>
    </row>
    <row r="526" spans="1:21" ht="11.85" customHeight="1" x14ac:dyDescent="0.2">
      <c r="A526" s="3" t="s">
        <v>349</v>
      </c>
      <c r="C526" s="2">
        <v>24834.77</v>
      </c>
      <c r="E526" s="2">
        <v>23848.33</v>
      </c>
      <c r="G526" s="2">
        <v>24317</v>
      </c>
      <c r="I526" s="2">
        <v>30000</v>
      </c>
      <c r="K526" s="2">
        <v>30000</v>
      </c>
      <c r="L526" s="9"/>
      <c r="M526" s="2">
        <v>25000</v>
      </c>
      <c r="N526" s="9"/>
      <c r="O526" s="2">
        <v>0</v>
      </c>
      <c r="P526" s="9"/>
      <c r="Q526" s="2">
        <f t="shared" si="21"/>
        <v>25000</v>
      </c>
      <c r="T526" s="11"/>
    </row>
    <row r="527" spans="1:21" ht="11.85" customHeight="1" x14ac:dyDescent="0.2">
      <c r="A527" s="3" t="s">
        <v>350</v>
      </c>
      <c r="C527" s="2">
        <v>1645.9</v>
      </c>
      <c r="E527" s="2">
        <v>1695.25</v>
      </c>
      <c r="G527" s="2">
        <v>1037.8</v>
      </c>
      <c r="I527" s="2">
        <v>1700</v>
      </c>
      <c r="K527" s="2">
        <v>1700</v>
      </c>
      <c r="L527" s="9"/>
      <c r="M527" s="2">
        <v>1700</v>
      </c>
      <c r="N527" s="9"/>
      <c r="O527" s="2">
        <v>0</v>
      </c>
      <c r="P527" s="9"/>
      <c r="Q527" s="2">
        <f t="shared" si="21"/>
        <v>1700</v>
      </c>
      <c r="T527" s="11"/>
    </row>
    <row r="528" spans="1:21" ht="11.85" customHeight="1" x14ac:dyDescent="0.2">
      <c r="A528" s="3" t="s">
        <v>351</v>
      </c>
      <c r="C528" s="2">
        <v>0</v>
      </c>
      <c r="E528" s="2">
        <v>0</v>
      </c>
      <c r="G528" s="2">
        <v>0</v>
      </c>
      <c r="I528" s="2">
        <v>1500</v>
      </c>
      <c r="K528" s="2">
        <v>1500</v>
      </c>
      <c r="L528" s="9"/>
      <c r="M528" s="2">
        <v>1500</v>
      </c>
      <c r="N528" s="9"/>
      <c r="O528" s="2">
        <v>0</v>
      </c>
      <c r="P528" s="9"/>
      <c r="Q528" s="2">
        <f t="shared" si="21"/>
        <v>1500</v>
      </c>
      <c r="T528" s="11"/>
    </row>
    <row r="529" spans="1:32" ht="11.85" customHeight="1" x14ac:dyDescent="0.2">
      <c r="A529" s="3" t="s">
        <v>352</v>
      </c>
      <c r="C529" s="2">
        <v>4205.54</v>
      </c>
      <c r="E529" s="2">
        <v>4658.08</v>
      </c>
      <c r="G529" s="2">
        <v>5321.06</v>
      </c>
      <c r="I529" s="2">
        <v>4100</v>
      </c>
      <c r="K529" s="2">
        <v>4100</v>
      </c>
      <c r="L529" s="9"/>
      <c r="M529" s="2">
        <v>4100</v>
      </c>
      <c r="N529" s="9"/>
      <c r="O529" s="2">
        <v>0</v>
      </c>
      <c r="P529" s="9"/>
      <c r="Q529" s="2">
        <f t="shared" si="21"/>
        <v>4100</v>
      </c>
      <c r="T529" s="11"/>
    </row>
    <row r="530" spans="1:32" ht="11.85" customHeight="1" x14ac:dyDescent="0.2">
      <c r="A530" s="3" t="s">
        <v>353</v>
      </c>
      <c r="C530" s="2">
        <v>935</v>
      </c>
      <c r="E530" s="2">
        <v>1020</v>
      </c>
      <c r="G530" s="2">
        <v>1020</v>
      </c>
      <c r="I530" s="2">
        <v>1200</v>
      </c>
      <c r="K530" s="2">
        <v>1200</v>
      </c>
      <c r="L530" s="9"/>
      <c r="M530" s="2">
        <v>1200</v>
      </c>
      <c r="N530" s="9"/>
      <c r="O530" s="2">
        <v>0</v>
      </c>
      <c r="P530" s="9"/>
      <c r="Q530" s="2">
        <f t="shared" si="21"/>
        <v>1200</v>
      </c>
      <c r="T530" s="11"/>
    </row>
    <row r="531" spans="1:32" ht="11.85" customHeight="1" x14ac:dyDescent="0.2">
      <c r="A531" s="3" t="s">
        <v>354</v>
      </c>
      <c r="C531" s="2">
        <v>0</v>
      </c>
      <c r="E531" s="2">
        <v>0</v>
      </c>
      <c r="G531" s="2">
        <v>0</v>
      </c>
      <c r="I531" s="2">
        <v>0</v>
      </c>
      <c r="K531" s="2">
        <v>0</v>
      </c>
      <c r="L531" s="9"/>
      <c r="M531" s="2">
        <v>0</v>
      </c>
      <c r="N531" s="9"/>
      <c r="O531" s="2">
        <v>0</v>
      </c>
      <c r="P531" s="9"/>
      <c r="Q531" s="2">
        <f t="shared" si="21"/>
        <v>0</v>
      </c>
      <c r="T531" s="11"/>
    </row>
    <row r="532" spans="1:32" ht="11.85" customHeight="1" x14ac:dyDescent="0.2">
      <c r="A532" s="3" t="s">
        <v>355</v>
      </c>
      <c r="C532" s="2">
        <v>1871.9</v>
      </c>
      <c r="E532" s="2">
        <v>1795.2</v>
      </c>
      <c r="G532" s="2">
        <v>1645.6</v>
      </c>
      <c r="I532" s="2">
        <v>2500</v>
      </c>
      <c r="K532" s="2">
        <v>2500</v>
      </c>
      <c r="L532" s="9"/>
      <c r="M532" s="2">
        <v>2500</v>
      </c>
      <c r="N532" s="9"/>
      <c r="O532" s="2">
        <v>0</v>
      </c>
      <c r="P532" s="9"/>
      <c r="Q532" s="2">
        <f t="shared" si="21"/>
        <v>2500</v>
      </c>
      <c r="T532" s="11"/>
    </row>
    <row r="533" spans="1:32" ht="11.85" customHeight="1" x14ac:dyDescent="0.2">
      <c r="A533" s="3" t="s">
        <v>356</v>
      </c>
      <c r="C533" s="2">
        <v>0</v>
      </c>
      <c r="E533" s="2">
        <v>0</v>
      </c>
      <c r="G533" s="2">
        <v>0</v>
      </c>
      <c r="I533" s="2">
        <v>0</v>
      </c>
      <c r="K533" s="2">
        <v>0</v>
      </c>
      <c r="L533" s="9"/>
      <c r="M533" s="2">
        <v>0</v>
      </c>
      <c r="N533" s="9"/>
      <c r="O533" s="2">
        <v>0</v>
      </c>
      <c r="P533" s="9"/>
      <c r="Q533" s="2">
        <f t="shared" si="21"/>
        <v>0</v>
      </c>
      <c r="T533" s="11"/>
    </row>
    <row r="534" spans="1:32" ht="11.85" customHeight="1" x14ac:dyDescent="0.2">
      <c r="A534" s="3" t="s">
        <v>357</v>
      </c>
      <c r="C534" s="2">
        <v>443.36</v>
      </c>
      <c r="E534" s="2">
        <v>389.2</v>
      </c>
      <c r="G534" s="2">
        <v>440.05</v>
      </c>
      <c r="I534" s="2">
        <v>800</v>
      </c>
      <c r="K534" s="2">
        <v>800</v>
      </c>
      <c r="L534" s="9"/>
      <c r="M534" s="2">
        <v>800</v>
      </c>
      <c r="N534" s="9"/>
      <c r="O534" s="2">
        <v>0</v>
      </c>
      <c r="P534" s="9"/>
      <c r="Q534" s="2">
        <f t="shared" si="21"/>
        <v>800</v>
      </c>
      <c r="T534" s="11"/>
    </row>
    <row r="535" spans="1:32" ht="11.85" customHeight="1" x14ac:dyDescent="0.2">
      <c r="A535" s="3" t="s">
        <v>358</v>
      </c>
      <c r="C535" s="2">
        <v>234.6</v>
      </c>
      <c r="E535" s="2">
        <v>428.95</v>
      </c>
      <c r="G535" s="2">
        <v>399</v>
      </c>
      <c r="I535" s="2">
        <v>500</v>
      </c>
      <c r="K535" s="2">
        <v>500</v>
      </c>
      <c r="L535" s="9"/>
      <c r="M535" s="2">
        <v>500</v>
      </c>
      <c r="N535" s="9"/>
      <c r="O535" s="2">
        <v>0</v>
      </c>
      <c r="P535" s="9"/>
      <c r="Q535" s="2">
        <f t="shared" si="21"/>
        <v>500</v>
      </c>
      <c r="T535" s="11"/>
    </row>
    <row r="536" spans="1:32" ht="11.85" customHeight="1" x14ac:dyDescent="0.2">
      <c r="A536" s="3" t="s">
        <v>359</v>
      </c>
      <c r="C536" s="12">
        <v>0</v>
      </c>
      <c r="E536" s="12">
        <v>0</v>
      </c>
      <c r="G536" s="12">
        <v>2432.91</v>
      </c>
      <c r="I536" s="12">
        <v>1600</v>
      </c>
      <c r="K536" s="12">
        <v>1600</v>
      </c>
      <c r="L536" s="9"/>
      <c r="M536" s="12">
        <v>0</v>
      </c>
      <c r="N536" s="9"/>
      <c r="O536" s="12">
        <v>0</v>
      </c>
      <c r="P536" s="9"/>
      <c r="Q536" s="12">
        <f t="shared" si="21"/>
        <v>0</v>
      </c>
      <c r="T536" s="11"/>
    </row>
    <row r="537" spans="1:32" ht="11.85" hidden="1" customHeight="1" x14ac:dyDescent="0.2">
      <c r="A537" s="3" t="s">
        <v>360</v>
      </c>
      <c r="C537" s="12">
        <v>0</v>
      </c>
      <c r="E537" s="12">
        <v>0</v>
      </c>
      <c r="G537" s="12">
        <v>0</v>
      </c>
      <c r="I537" s="12">
        <v>0</v>
      </c>
      <c r="K537" s="12">
        <v>0</v>
      </c>
      <c r="L537" s="9"/>
      <c r="M537" s="12">
        <v>0</v>
      </c>
      <c r="N537" s="9"/>
      <c r="O537" s="12">
        <v>0</v>
      </c>
      <c r="P537" s="9"/>
      <c r="Q537" s="12">
        <f t="shared" si="21"/>
        <v>0</v>
      </c>
      <c r="T537" s="11"/>
    </row>
    <row r="538" spans="1:32" ht="11.85" customHeight="1" x14ac:dyDescent="0.2">
      <c r="A538" s="3" t="s">
        <v>304</v>
      </c>
      <c r="C538" s="2">
        <f>SUM(C525:C537)</f>
        <v>34549.07</v>
      </c>
      <c r="E538" s="2">
        <f>SUM(E525:E537)</f>
        <v>34415.51999999999</v>
      </c>
      <c r="G538" s="2">
        <f>SUM(G525:G537)</f>
        <v>37008.42</v>
      </c>
      <c r="I538" s="2">
        <f>SUM(I525:I537)</f>
        <v>44600</v>
      </c>
      <c r="K538" s="2">
        <f>SUM(K525:K537)</f>
        <v>44600</v>
      </c>
      <c r="L538" s="9"/>
      <c r="M538" s="2">
        <f>SUM(M525:M537)</f>
        <v>38000</v>
      </c>
      <c r="N538" s="9"/>
      <c r="O538" s="2">
        <f>SUM(O525:O537)</f>
        <v>0</v>
      </c>
      <c r="P538" s="9"/>
      <c r="Q538" s="2">
        <f>SUM(Q525:Q537)</f>
        <v>38000</v>
      </c>
    </row>
    <row r="539" spans="1:32" ht="11.85" customHeight="1" x14ac:dyDescent="0.2"/>
    <row r="540" spans="1:32" ht="11.85" customHeight="1" x14ac:dyDescent="0.2">
      <c r="A540" s="10" t="s">
        <v>305</v>
      </c>
    </row>
    <row r="541" spans="1:32" ht="11.85" customHeight="1" x14ac:dyDescent="0.2">
      <c r="A541" s="3" t="s">
        <v>361</v>
      </c>
      <c r="B541" s="9"/>
      <c r="C541" s="2">
        <v>0</v>
      </c>
      <c r="E541" s="2">
        <v>0</v>
      </c>
      <c r="G541" s="2">
        <v>100</v>
      </c>
      <c r="I541" s="2">
        <v>0</v>
      </c>
      <c r="K541" s="2">
        <v>0</v>
      </c>
      <c r="L541" s="9"/>
      <c r="M541" s="2">
        <v>0</v>
      </c>
      <c r="N541" s="9"/>
      <c r="O541" s="2">
        <v>0</v>
      </c>
      <c r="P541" s="9"/>
      <c r="Q541" s="2">
        <f t="shared" ref="Q541:Q562" si="22">M541+O541</f>
        <v>0</v>
      </c>
      <c r="T541" s="11"/>
      <c r="AF541" s="13"/>
    </row>
    <row r="542" spans="1:32" ht="11.85" customHeight="1" x14ac:dyDescent="0.2">
      <c r="A542" s="3" t="s">
        <v>362</v>
      </c>
      <c r="B542" s="9"/>
      <c r="C542" s="2">
        <v>656.4</v>
      </c>
      <c r="E542" s="2">
        <v>869.06</v>
      </c>
      <c r="G542" s="2">
        <v>1341.89</v>
      </c>
      <c r="I542" s="2">
        <v>2000</v>
      </c>
      <c r="K542" s="2">
        <v>2000</v>
      </c>
      <c r="L542" s="9"/>
      <c r="M542" s="2">
        <v>2500</v>
      </c>
      <c r="N542" s="9"/>
      <c r="O542" s="2">
        <v>0</v>
      </c>
      <c r="P542" s="9"/>
      <c r="Q542" s="2">
        <f t="shared" si="22"/>
        <v>2500</v>
      </c>
      <c r="T542" s="11"/>
    </row>
    <row r="543" spans="1:32" ht="11.85" customHeight="1" x14ac:dyDescent="0.2">
      <c r="A543" s="3" t="s">
        <v>363</v>
      </c>
      <c r="B543" s="9"/>
      <c r="C543" s="2">
        <v>3193.53</v>
      </c>
      <c r="E543" s="2">
        <v>3134.48</v>
      </c>
      <c r="G543" s="2">
        <v>4937.43</v>
      </c>
      <c r="I543" s="2">
        <v>6000</v>
      </c>
      <c r="K543" s="2">
        <f>6000-1000</f>
        <v>5000</v>
      </c>
      <c r="L543" s="9"/>
      <c r="M543" s="2">
        <v>5000</v>
      </c>
      <c r="N543" s="9"/>
      <c r="O543" s="2">
        <v>0</v>
      </c>
      <c r="P543" s="9"/>
      <c r="Q543" s="2">
        <f t="shared" si="22"/>
        <v>5000</v>
      </c>
      <c r="T543" s="11"/>
    </row>
    <row r="544" spans="1:32" ht="11.85" customHeight="1" x14ac:dyDescent="0.2">
      <c r="A544" s="3" t="s">
        <v>364</v>
      </c>
      <c r="B544" s="9"/>
      <c r="C544" s="2">
        <v>178.11</v>
      </c>
      <c r="E544" s="2">
        <v>1940.14</v>
      </c>
      <c r="G544" s="2">
        <v>1190.73</v>
      </c>
      <c r="I544" s="2">
        <v>2000</v>
      </c>
      <c r="K544" s="2">
        <v>2000</v>
      </c>
      <c r="L544" s="9"/>
      <c r="M544" s="2">
        <v>2000</v>
      </c>
      <c r="N544" s="9"/>
      <c r="O544" s="2">
        <v>0</v>
      </c>
      <c r="P544" s="9"/>
      <c r="Q544" s="2">
        <f t="shared" si="22"/>
        <v>2000</v>
      </c>
      <c r="T544" s="11"/>
    </row>
    <row r="545" spans="1:20" ht="11.85" customHeight="1" x14ac:dyDescent="0.2">
      <c r="A545" s="3" t="s">
        <v>365</v>
      </c>
      <c r="B545" s="9"/>
      <c r="C545" s="2">
        <v>44898.29</v>
      </c>
      <c r="E545" s="2">
        <v>69902.179999999993</v>
      </c>
      <c r="G545" s="2">
        <v>63804.29</v>
      </c>
      <c r="I545" s="2">
        <v>60000</v>
      </c>
      <c r="K545" s="2">
        <f>60000+20000</f>
        <v>80000</v>
      </c>
      <c r="L545" s="9"/>
      <c r="M545" s="2">
        <v>60000</v>
      </c>
      <c r="N545" s="9"/>
      <c r="O545" s="2">
        <v>0</v>
      </c>
      <c r="P545" s="9"/>
      <c r="Q545" s="2">
        <f t="shared" si="22"/>
        <v>60000</v>
      </c>
      <c r="T545" s="11"/>
    </row>
    <row r="546" spans="1:20" ht="11.85" customHeight="1" x14ac:dyDescent="0.2">
      <c r="A546" s="3" t="s">
        <v>366</v>
      </c>
      <c r="B546" s="9"/>
      <c r="C546" s="2">
        <v>109274.56</v>
      </c>
      <c r="E546" s="2">
        <v>98084.82</v>
      </c>
      <c r="G546" s="2">
        <v>144985.54</v>
      </c>
      <c r="I546" s="2">
        <v>130000</v>
      </c>
      <c r="K546" s="2">
        <v>130000</v>
      </c>
      <c r="L546" s="9"/>
      <c r="M546" s="2">
        <v>130000</v>
      </c>
      <c r="N546" s="9"/>
      <c r="O546" s="2">
        <v>0</v>
      </c>
      <c r="P546" s="9"/>
      <c r="Q546" s="2">
        <f t="shared" si="22"/>
        <v>130000</v>
      </c>
      <c r="T546" s="11"/>
    </row>
    <row r="547" spans="1:20" ht="11.85" customHeight="1" x14ac:dyDescent="0.2">
      <c r="A547" s="3" t="s">
        <v>367</v>
      </c>
      <c r="B547" s="9"/>
      <c r="C547" s="2">
        <v>-5812.6</v>
      </c>
      <c r="E547" s="2">
        <v>-2045.85</v>
      </c>
      <c r="G547" s="2">
        <v>-3222.34</v>
      </c>
      <c r="I547" s="2">
        <v>0</v>
      </c>
      <c r="K547" s="2">
        <v>0</v>
      </c>
      <c r="L547" s="13"/>
      <c r="M547" s="9">
        <v>0</v>
      </c>
      <c r="N547" s="9"/>
      <c r="O547" s="2">
        <v>0</v>
      </c>
      <c r="P547" s="9"/>
      <c r="Q547" s="9">
        <f t="shared" si="22"/>
        <v>0</v>
      </c>
      <c r="T547" s="11"/>
    </row>
    <row r="548" spans="1:20" ht="11.85" customHeight="1" x14ac:dyDescent="0.2">
      <c r="A548" s="3" t="s">
        <v>368</v>
      </c>
      <c r="B548" s="9"/>
      <c r="C548" s="2">
        <v>339.61</v>
      </c>
      <c r="E548" s="2">
        <v>1755.99</v>
      </c>
      <c r="G548" s="2">
        <v>1089.5</v>
      </c>
      <c r="I548" s="2">
        <v>2500</v>
      </c>
      <c r="K548" s="2">
        <v>2500</v>
      </c>
      <c r="L548" s="9"/>
      <c r="M548" s="2">
        <v>2500</v>
      </c>
      <c r="N548" s="9"/>
      <c r="O548" s="2">
        <v>0</v>
      </c>
      <c r="P548" s="9"/>
      <c r="Q548" s="2">
        <f t="shared" si="22"/>
        <v>2500</v>
      </c>
      <c r="T548" s="11"/>
    </row>
    <row r="549" spans="1:20" ht="11.85" customHeight="1" x14ac:dyDescent="0.2">
      <c r="A549" s="3" t="s">
        <v>369</v>
      </c>
      <c r="B549" s="9"/>
      <c r="C549" s="2">
        <v>4650</v>
      </c>
      <c r="E549" s="2">
        <v>39703.949999999997</v>
      </c>
      <c r="G549" s="2">
        <v>5337.88</v>
      </c>
      <c r="I549" s="2">
        <v>7500</v>
      </c>
      <c r="K549" s="2">
        <v>7500</v>
      </c>
      <c r="L549" s="9"/>
      <c r="M549" s="2">
        <v>8000</v>
      </c>
      <c r="N549" s="9"/>
      <c r="O549" s="2">
        <v>0</v>
      </c>
      <c r="P549" s="9"/>
      <c r="Q549" s="2">
        <f t="shared" si="22"/>
        <v>8000</v>
      </c>
      <c r="T549" s="11"/>
    </row>
    <row r="550" spans="1:20" ht="11.85" customHeight="1" x14ac:dyDescent="0.2">
      <c r="A550" s="3" t="s">
        <v>370</v>
      </c>
      <c r="B550" s="9"/>
      <c r="C550" s="2">
        <v>5766.9</v>
      </c>
      <c r="E550" s="2">
        <v>4015.54</v>
      </c>
      <c r="G550" s="2">
        <v>4507.58</v>
      </c>
      <c r="I550" s="2">
        <v>7000</v>
      </c>
      <c r="K550" s="2">
        <f>7000+1000</f>
        <v>8000</v>
      </c>
      <c r="L550" s="9"/>
      <c r="M550" s="2">
        <v>10000</v>
      </c>
      <c r="N550" s="9"/>
      <c r="O550" s="2">
        <v>0</v>
      </c>
      <c r="P550" s="9"/>
      <c r="Q550" s="2">
        <f t="shared" si="22"/>
        <v>10000</v>
      </c>
      <c r="T550" s="11"/>
    </row>
    <row r="551" spans="1:20" ht="11.85" customHeight="1" x14ac:dyDescent="0.2">
      <c r="A551" s="3" t="s">
        <v>371</v>
      </c>
      <c r="B551" s="9"/>
      <c r="C551" s="2">
        <v>0</v>
      </c>
      <c r="E551" s="2">
        <v>0</v>
      </c>
      <c r="G551" s="2">
        <v>136.96</v>
      </c>
      <c r="I551" s="2">
        <v>500</v>
      </c>
      <c r="K551" s="2">
        <v>500</v>
      </c>
      <c r="L551" s="9"/>
      <c r="M551" s="2">
        <v>500</v>
      </c>
      <c r="N551" s="9"/>
      <c r="O551" s="2">
        <v>0</v>
      </c>
      <c r="P551" s="9"/>
      <c r="Q551" s="2">
        <f t="shared" si="22"/>
        <v>500</v>
      </c>
      <c r="T551" s="11"/>
    </row>
    <row r="552" spans="1:20" ht="11.85" customHeight="1" x14ac:dyDescent="0.2">
      <c r="A552" s="3" t="s">
        <v>372</v>
      </c>
      <c r="B552" s="9"/>
      <c r="C552" s="2">
        <v>1419.84</v>
      </c>
      <c r="E552" s="2">
        <v>5073.33</v>
      </c>
      <c r="G552" s="2">
        <v>3627.86</v>
      </c>
      <c r="I552" s="2">
        <v>8000</v>
      </c>
      <c r="K552" s="2">
        <v>8000</v>
      </c>
      <c r="L552" s="9"/>
      <c r="M552" s="2">
        <v>3000</v>
      </c>
      <c r="N552" s="9"/>
      <c r="O552" s="2">
        <v>0</v>
      </c>
      <c r="P552" s="9"/>
      <c r="Q552" s="2">
        <f t="shared" si="22"/>
        <v>3000</v>
      </c>
      <c r="T552" s="11"/>
    </row>
    <row r="553" spans="1:20" ht="11.85" hidden="1" customHeight="1" x14ac:dyDescent="0.2">
      <c r="A553" s="3" t="s">
        <v>373</v>
      </c>
      <c r="B553" s="9"/>
      <c r="C553" s="2">
        <v>0</v>
      </c>
      <c r="E553" s="2">
        <v>0</v>
      </c>
      <c r="G553" s="2">
        <v>0</v>
      </c>
      <c r="I553" s="2">
        <v>0</v>
      </c>
      <c r="K553" s="2">
        <v>0</v>
      </c>
      <c r="L553" s="9"/>
      <c r="M553" s="2">
        <v>0</v>
      </c>
      <c r="N553" s="9"/>
      <c r="O553" s="2">
        <v>0</v>
      </c>
      <c r="P553" s="9"/>
      <c r="Q553" s="2">
        <f t="shared" si="22"/>
        <v>0</v>
      </c>
      <c r="T553" s="11"/>
    </row>
    <row r="554" spans="1:20" ht="11.85" customHeight="1" x14ac:dyDescent="0.2">
      <c r="A554" s="3" t="s">
        <v>374</v>
      </c>
      <c r="B554" s="9"/>
      <c r="C554" s="2">
        <v>1923.14</v>
      </c>
      <c r="E554" s="2">
        <v>2987.9</v>
      </c>
      <c r="G554" s="2">
        <v>11558.09</v>
      </c>
      <c r="I554" s="2">
        <v>10000</v>
      </c>
      <c r="K554" s="2">
        <v>10000</v>
      </c>
      <c r="L554" s="9"/>
      <c r="M554" s="2">
        <v>10000</v>
      </c>
      <c r="N554" s="9"/>
      <c r="O554" s="2">
        <v>0</v>
      </c>
      <c r="P554" s="9"/>
      <c r="Q554" s="2">
        <f t="shared" si="22"/>
        <v>10000</v>
      </c>
      <c r="T554" s="11"/>
    </row>
    <row r="555" spans="1:20" ht="11.85" customHeight="1" x14ac:dyDescent="0.2">
      <c r="A555" s="3" t="s">
        <v>375</v>
      </c>
      <c r="B555" s="9"/>
      <c r="C555" s="2">
        <v>5228.78</v>
      </c>
      <c r="E555" s="2">
        <v>2537.9499999999998</v>
      </c>
      <c r="G555" s="2">
        <v>2407.9</v>
      </c>
      <c r="I555" s="2">
        <v>7000</v>
      </c>
      <c r="K555" s="2">
        <v>7000</v>
      </c>
      <c r="L555" s="9"/>
      <c r="M555" s="2">
        <v>7000</v>
      </c>
      <c r="N555" s="9"/>
      <c r="O555" s="2">
        <v>0</v>
      </c>
      <c r="P555" s="9"/>
      <c r="Q555" s="2">
        <f t="shared" si="22"/>
        <v>7000</v>
      </c>
      <c r="T555" s="11"/>
    </row>
    <row r="556" spans="1:20" ht="11.85" customHeight="1" x14ac:dyDescent="0.2">
      <c r="A556" s="3" t="s">
        <v>376</v>
      </c>
      <c r="B556" s="9"/>
      <c r="C556" s="2">
        <v>4642.91</v>
      </c>
      <c r="E556" s="2">
        <v>4931.66</v>
      </c>
      <c r="G556" s="2">
        <v>4871.99</v>
      </c>
      <c r="I556" s="2">
        <v>5000</v>
      </c>
      <c r="K556" s="2">
        <v>5000</v>
      </c>
      <c r="L556" s="9"/>
      <c r="M556" s="2">
        <v>5000</v>
      </c>
      <c r="N556" s="9"/>
      <c r="O556" s="2">
        <v>0</v>
      </c>
      <c r="P556" s="9"/>
      <c r="Q556" s="2">
        <f t="shared" si="22"/>
        <v>5000</v>
      </c>
      <c r="T556" s="11"/>
    </row>
    <row r="557" spans="1:20" ht="11.85" customHeight="1" x14ac:dyDescent="0.2">
      <c r="A557" s="3" t="s">
        <v>377</v>
      </c>
      <c r="C557" s="2">
        <v>0</v>
      </c>
      <c r="E557" s="2">
        <v>0</v>
      </c>
      <c r="G557" s="2">
        <v>0</v>
      </c>
      <c r="I557" s="2">
        <v>200</v>
      </c>
      <c r="K557" s="2">
        <v>200</v>
      </c>
      <c r="L557" s="9"/>
      <c r="M557" s="2">
        <v>200</v>
      </c>
      <c r="N557" s="9"/>
      <c r="O557" s="2">
        <v>0</v>
      </c>
      <c r="P557" s="9"/>
      <c r="Q557" s="2">
        <f t="shared" si="22"/>
        <v>200</v>
      </c>
      <c r="T557" s="11"/>
    </row>
    <row r="558" spans="1:20" ht="11.85" hidden="1" customHeight="1" x14ac:dyDescent="0.2">
      <c r="A558" s="3" t="s">
        <v>378</v>
      </c>
      <c r="C558" s="2">
        <v>0</v>
      </c>
      <c r="E558" s="2">
        <v>0</v>
      </c>
      <c r="G558" s="2">
        <v>0</v>
      </c>
      <c r="I558" s="2">
        <v>0</v>
      </c>
      <c r="K558" s="2">
        <v>0</v>
      </c>
      <c r="L558" s="9"/>
      <c r="M558" s="2">
        <v>0</v>
      </c>
      <c r="N558" s="9"/>
      <c r="O558" s="2">
        <v>0</v>
      </c>
      <c r="P558" s="9"/>
      <c r="Q558" s="2">
        <f t="shared" si="22"/>
        <v>0</v>
      </c>
      <c r="T558" s="11"/>
    </row>
    <row r="559" spans="1:20" ht="11.85" customHeight="1" x14ac:dyDescent="0.2">
      <c r="A559" s="3" t="s">
        <v>379</v>
      </c>
      <c r="C559" s="2">
        <v>0</v>
      </c>
      <c r="E559" s="2">
        <v>435.19</v>
      </c>
      <c r="G559" s="2">
        <v>287.98</v>
      </c>
      <c r="I559" s="2">
        <v>500</v>
      </c>
      <c r="K559" s="2">
        <v>500</v>
      </c>
      <c r="L559" s="9"/>
      <c r="M559" s="2">
        <v>500</v>
      </c>
      <c r="N559" s="9"/>
      <c r="O559" s="2">
        <v>0</v>
      </c>
      <c r="P559" s="9"/>
      <c r="Q559" s="2">
        <f t="shared" si="22"/>
        <v>500</v>
      </c>
      <c r="T559" s="11"/>
    </row>
    <row r="560" spans="1:20" ht="11.85" customHeight="1" x14ac:dyDescent="0.2">
      <c r="A560" s="3" t="s">
        <v>380</v>
      </c>
      <c r="C560" s="2">
        <v>164.95</v>
      </c>
      <c r="E560" s="2">
        <v>59.54</v>
      </c>
      <c r="G560" s="2">
        <v>0</v>
      </c>
      <c r="I560" s="2">
        <v>600</v>
      </c>
      <c r="K560" s="2">
        <v>600</v>
      </c>
      <c r="L560" s="9"/>
      <c r="M560" s="2">
        <v>600</v>
      </c>
      <c r="N560" s="9"/>
      <c r="O560" s="2">
        <v>0</v>
      </c>
      <c r="P560" s="9"/>
      <c r="Q560" s="2">
        <f t="shared" si="22"/>
        <v>600</v>
      </c>
      <c r="T560" s="11"/>
    </row>
    <row r="561" spans="1:22" ht="11.85" customHeight="1" x14ac:dyDescent="0.2">
      <c r="A561" s="3" t="s">
        <v>381</v>
      </c>
      <c r="C561" s="2">
        <v>3730.24</v>
      </c>
      <c r="E561" s="2">
        <v>5133.42</v>
      </c>
      <c r="G561" s="2">
        <v>6469.65</v>
      </c>
      <c r="I561" s="2">
        <v>6000</v>
      </c>
      <c r="K561" s="2">
        <v>6000</v>
      </c>
      <c r="L561" s="9"/>
      <c r="M561" s="2">
        <v>6000</v>
      </c>
      <c r="N561" s="9"/>
      <c r="O561" s="2">
        <v>0</v>
      </c>
      <c r="P561" s="9"/>
      <c r="Q561" s="2">
        <f t="shared" si="22"/>
        <v>6000</v>
      </c>
      <c r="T561" s="11"/>
    </row>
    <row r="562" spans="1:22" ht="11.85" customHeight="1" x14ac:dyDescent="0.2">
      <c r="A562" s="3" t="s">
        <v>382</v>
      </c>
      <c r="C562" s="2">
        <v>328.5</v>
      </c>
      <c r="E562" s="2">
        <v>222.23</v>
      </c>
      <c r="G562" s="2">
        <v>930.67</v>
      </c>
      <c r="I562" s="2">
        <v>1000</v>
      </c>
      <c r="K562" s="2">
        <v>1000</v>
      </c>
      <c r="L562" s="9"/>
      <c r="M562" s="2">
        <v>1000</v>
      </c>
      <c r="N562" s="9"/>
      <c r="O562" s="2">
        <v>0</v>
      </c>
      <c r="P562" s="9"/>
      <c r="Q562" s="2">
        <f t="shared" si="22"/>
        <v>1000</v>
      </c>
      <c r="T562" s="11"/>
    </row>
    <row r="563" spans="1:22" ht="11.85" customHeight="1" x14ac:dyDescent="0.2">
      <c r="B563" s="9"/>
      <c r="L563" s="9"/>
      <c r="N563" s="9"/>
      <c r="P563" s="9"/>
    </row>
    <row r="564" spans="1:22" ht="11.85" customHeight="1" x14ac:dyDescent="0.2">
      <c r="B564" s="9"/>
      <c r="L564" s="9"/>
      <c r="N564" s="9"/>
      <c r="P564" s="9"/>
    </row>
    <row r="565" spans="1:22" ht="11.85" customHeight="1" x14ac:dyDescent="0.2">
      <c r="B565" s="9"/>
      <c r="L565" s="9"/>
      <c r="N565" s="9"/>
      <c r="P565" s="9"/>
    </row>
    <row r="566" spans="1:22" ht="11.85" customHeight="1" x14ac:dyDescent="0.2">
      <c r="A566" s="1"/>
      <c r="B566" s="1"/>
      <c r="E566" s="2" t="str">
        <f>$E$1</f>
        <v>CITY OF BRADY</v>
      </c>
    </row>
    <row r="567" spans="1:22" ht="11.85" customHeight="1" x14ac:dyDescent="0.2">
      <c r="E567" s="2" t="str">
        <f>$E$2</f>
        <v>BUDGET REPORT</v>
      </c>
    </row>
    <row r="568" spans="1:22" ht="11.85" customHeight="1" x14ac:dyDescent="0.2">
      <c r="E568" s="2" t="str">
        <f>$E$3</f>
        <v>FISCAL YEAR 2024 - 2025</v>
      </c>
    </row>
    <row r="569" spans="1:22" ht="11.85" customHeight="1" x14ac:dyDescent="0.2">
      <c r="A569" s="3" t="s">
        <v>3</v>
      </c>
    </row>
    <row r="570" spans="1:22" ht="11.85" customHeight="1" x14ac:dyDescent="0.2">
      <c r="A570" s="3" t="s">
        <v>338</v>
      </c>
    </row>
    <row r="571" spans="1:22" ht="11.85" customHeight="1" x14ac:dyDescent="0.2">
      <c r="I571" s="53" t="str">
        <f>+I6</f>
        <v>(----- 2023-2024------)</v>
      </c>
      <c r="J571" s="53"/>
      <c r="K571" s="53"/>
      <c r="L571" s="6"/>
      <c r="M571" s="54" t="str">
        <f>$M$6</f>
        <v>2024-2025</v>
      </c>
      <c r="N571" s="54"/>
      <c r="O571" s="54"/>
      <c r="P571" s="54"/>
      <c r="Q571" s="54"/>
    </row>
    <row r="572" spans="1:22" ht="11.85" customHeight="1" x14ac:dyDescent="0.2">
      <c r="C572" s="5" t="str">
        <f>$C$7</f>
        <v>2020-2021</v>
      </c>
      <c r="D572" s="5"/>
      <c r="E572" s="5" t="str">
        <f>$E$7</f>
        <v>2021-2022</v>
      </c>
      <c r="F572" s="5"/>
      <c r="G572" s="5" t="str">
        <f>$G$7</f>
        <v>2022-2023</v>
      </c>
      <c r="H572" s="5"/>
      <c r="I572" s="5" t="s">
        <v>9</v>
      </c>
      <c r="J572" s="5"/>
      <c r="K572" s="5" t="str">
        <f>+$K$7</f>
        <v>PROJECTED</v>
      </c>
      <c r="L572" s="6"/>
      <c r="M572" s="5">
        <f>$M$7</f>
        <v>0</v>
      </c>
      <c r="N572" s="6"/>
      <c r="O572" s="5" t="str">
        <f>$O$7</f>
        <v>2024-2025</v>
      </c>
      <c r="P572" s="6"/>
      <c r="Q572" s="5" t="str">
        <f>$Q$7</f>
        <v>APPROVED</v>
      </c>
    </row>
    <row r="573" spans="1:22" ht="11.85" customHeight="1" x14ac:dyDescent="0.2">
      <c r="A573" s="7" t="s">
        <v>273</v>
      </c>
      <c r="C573" s="8" t="s">
        <v>12</v>
      </c>
      <c r="D573" s="5"/>
      <c r="E573" s="8" t="s">
        <v>12</v>
      </c>
      <c r="F573" s="5"/>
      <c r="G573" s="8" t="s">
        <v>12</v>
      </c>
      <c r="H573" s="5"/>
      <c r="I573" s="8" t="s">
        <v>13</v>
      </c>
      <c r="J573" s="5"/>
      <c r="K573" s="8" t="s">
        <v>13</v>
      </c>
      <c r="L573" s="6"/>
      <c r="M573" s="8" t="str">
        <f>$M$8</f>
        <v>BASE</v>
      </c>
      <c r="N573" s="6"/>
      <c r="O573" s="8" t="str">
        <f>$O$8</f>
        <v>SUPPLEMENTAL</v>
      </c>
      <c r="P573" s="6"/>
      <c r="Q573" s="8" t="str">
        <f>$Q$8</f>
        <v>BUDGET</v>
      </c>
    </row>
    <row r="574" spans="1:22" ht="11.85" customHeight="1" x14ac:dyDescent="0.2">
      <c r="B574" s="9"/>
      <c r="L574" s="9"/>
      <c r="N574" s="9"/>
      <c r="P574" s="9"/>
    </row>
    <row r="575" spans="1:22" ht="11.85" customHeight="1" x14ac:dyDescent="0.2">
      <c r="A575" s="3" t="s">
        <v>383</v>
      </c>
      <c r="C575" s="2">
        <v>2350</v>
      </c>
      <c r="E575" s="2">
        <v>2170</v>
      </c>
      <c r="G575" s="2">
        <v>0</v>
      </c>
      <c r="I575" s="2">
        <v>0</v>
      </c>
      <c r="K575" s="2">
        <v>0</v>
      </c>
      <c r="L575" s="9"/>
      <c r="M575" s="2">
        <v>0</v>
      </c>
      <c r="N575" s="9"/>
      <c r="O575" s="2">
        <v>0</v>
      </c>
      <c r="P575" s="9"/>
      <c r="Q575" s="2">
        <f>M575+O575</f>
        <v>0</v>
      </c>
      <c r="T575" s="11"/>
    </row>
    <row r="576" spans="1:22" ht="11.85" customHeight="1" x14ac:dyDescent="0.2">
      <c r="A576" s="3" t="s">
        <v>384</v>
      </c>
      <c r="C576" s="2">
        <v>491.85</v>
      </c>
      <c r="E576" s="2">
        <v>2879.24</v>
      </c>
      <c r="G576" s="2">
        <v>2720.32</v>
      </c>
      <c r="I576" s="2">
        <v>2400</v>
      </c>
      <c r="K576" s="2">
        <v>2400</v>
      </c>
      <c r="L576" s="9"/>
      <c r="M576" s="2">
        <v>2100</v>
      </c>
      <c r="N576" s="9"/>
      <c r="O576" s="2">
        <v>0</v>
      </c>
      <c r="P576" s="9"/>
      <c r="Q576" s="2">
        <f>M576+O576</f>
        <v>2100</v>
      </c>
      <c r="T576" s="11"/>
      <c r="V576" s="9"/>
    </row>
    <row r="577" spans="1:22" ht="11.85" customHeight="1" x14ac:dyDescent="0.2">
      <c r="A577" s="3" t="s">
        <v>385</v>
      </c>
      <c r="C577" s="12">
        <v>284.29000000000002</v>
      </c>
      <c r="E577" s="12">
        <v>8255.68</v>
      </c>
      <c r="G577" s="12">
        <v>9021.7999999999993</v>
      </c>
      <c r="I577" s="12">
        <v>9330</v>
      </c>
      <c r="K577" s="12">
        <v>9330</v>
      </c>
      <c r="L577" s="9"/>
      <c r="M577" s="12">
        <v>9700</v>
      </c>
      <c r="N577" s="9"/>
      <c r="O577" s="12">
        <v>0</v>
      </c>
      <c r="P577" s="9"/>
      <c r="Q577" s="12">
        <f>M577+O577</f>
        <v>9700</v>
      </c>
      <c r="T577" s="11"/>
      <c r="V577" s="9"/>
    </row>
    <row r="578" spans="1:22" ht="11.85" customHeight="1" x14ac:dyDescent="0.2">
      <c r="A578" s="3" t="s">
        <v>328</v>
      </c>
      <c r="C578" s="2">
        <f>SUM(C541:C546)+SUM(C547:C577)</f>
        <v>183709.30000000002</v>
      </c>
      <c r="E578" s="2">
        <f>SUM(E541:E546)+SUM(E547:E577)</f>
        <v>252046.45</v>
      </c>
      <c r="G578" s="2">
        <f>SUM(G541:G546)+SUM(G547:G577)</f>
        <v>266105.71999999997</v>
      </c>
      <c r="I578" s="2">
        <f>SUM(I541:I546)+SUM(I547:I577)</f>
        <v>267530</v>
      </c>
      <c r="K578" s="2">
        <f>SUM(K541:K546)+SUM(K547:K577)</f>
        <v>287530</v>
      </c>
      <c r="L578" s="9"/>
      <c r="M578" s="2">
        <f>SUM(M541:M546)+SUM(M547:M577)</f>
        <v>265600</v>
      </c>
      <c r="N578" s="9"/>
      <c r="O578" s="2">
        <f>SUM(O541:O546)+SUM(O547:O577)</f>
        <v>0</v>
      </c>
      <c r="P578" s="9"/>
      <c r="Q578" s="2">
        <f>SUM(Q541:Q546)+SUM(Q547:Q577)</f>
        <v>265600</v>
      </c>
    </row>
    <row r="579" spans="1:22" ht="11.85" customHeight="1" x14ac:dyDescent="0.2"/>
    <row r="580" spans="1:22" ht="11.85" customHeight="1" x14ac:dyDescent="0.2">
      <c r="A580" s="3" t="s">
        <v>386</v>
      </c>
      <c r="C580" s="2">
        <v>0</v>
      </c>
      <c r="E580" s="2">
        <v>0</v>
      </c>
      <c r="G580" s="2">
        <v>0</v>
      </c>
      <c r="I580" s="2">
        <v>0</v>
      </c>
      <c r="K580" s="2">
        <v>0</v>
      </c>
      <c r="L580" s="9"/>
      <c r="M580" s="2">
        <v>0</v>
      </c>
      <c r="N580" s="9"/>
      <c r="O580" s="2">
        <v>0</v>
      </c>
      <c r="P580" s="9"/>
      <c r="Q580" s="2">
        <f>M580+O580</f>
        <v>0</v>
      </c>
      <c r="T580" s="11"/>
    </row>
    <row r="581" spans="1:22" ht="11.85" customHeight="1" x14ac:dyDescent="0.2">
      <c r="A581" s="3" t="s">
        <v>387</v>
      </c>
      <c r="C581" s="2">
        <v>0</v>
      </c>
      <c r="E581" s="2">
        <v>120577.22</v>
      </c>
      <c r="G581" s="2">
        <v>0</v>
      </c>
      <c r="I581" s="2">
        <v>50000</v>
      </c>
      <c r="K581" s="2">
        <v>50000</v>
      </c>
      <c r="L581" s="9"/>
      <c r="M581" s="2">
        <v>0</v>
      </c>
      <c r="N581" s="9"/>
      <c r="O581" s="2">
        <v>0</v>
      </c>
      <c r="P581" s="9"/>
      <c r="Q581" s="2">
        <f>M581+O581</f>
        <v>0</v>
      </c>
      <c r="T581" s="11"/>
    </row>
    <row r="582" spans="1:22" ht="11.85" customHeight="1" x14ac:dyDescent="0.2">
      <c r="A582" s="3" t="s">
        <v>388</v>
      </c>
      <c r="C582" s="12">
        <v>0</v>
      </c>
      <c r="E582" s="12">
        <v>0</v>
      </c>
      <c r="G582" s="12">
        <v>38762</v>
      </c>
      <c r="I582" s="12">
        <v>75000</v>
      </c>
      <c r="K582" s="12">
        <v>86112</v>
      </c>
      <c r="L582" s="9"/>
      <c r="M582" s="12">
        <v>265000</v>
      </c>
      <c r="N582" s="9"/>
      <c r="O582" s="12">
        <v>0</v>
      </c>
      <c r="P582" s="9"/>
      <c r="Q582" s="12">
        <f>M582+O582</f>
        <v>265000</v>
      </c>
      <c r="T582" s="11"/>
    </row>
    <row r="583" spans="1:22" ht="11.85" customHeight="1" x14ac:dyDescent="0.2">
      <c r="A583" s="3" t="s">
        <v>331</v>
      </c>
      <c r="C583" s="2">
        <f>SUM(C580:C582)</f>
        <v>0</v>
      </c>
      <c r="E583" s="2">
        <f>SUM(E580:E582)</f>
        <v>120577.22</v>
      </c>
      <c r="G583" s="2">
        <f>SUM(G580:G582)</f>
        <v>38762</v>
      </c>
      <c r="I583" s="2">
        <f>SUM(I580:I582)</f>
        <v>125000</v>
      </c>
      <c r="K583" s="2">
        <f>SUM(K580:K582)</f>
        <v>136112</v>
      </c>
      <c r="L583" s="9"/>
      <c r="M583" s="2">
        <f>SUM(M580:M582)</f>
        <v>265000</v>
      </c>
      <c r="N583" s="9"/>
      <c r="O583" s="2">
        <f>SUM(O580:O582)</f>
        <v>0</v>
      </c>
      <c r="P583" s="9"/>
      <c r="Q583" s="2">
        <f>SUM(Q580:Q582)</f>
        <v>265000</v>
      </c>
    </row>
    <row r="584" spans="1:22" ht="11.85" customHeight="1" x14ac:dyDescent="0.2">
      <c r="L584" s="9"/>
      <c r="N584" s="9"/>
      <c r="P584" s="9"/>
    </row>
    <row r="585" spans="1:22" ht="11.85" customHeight="1" x14ac:dyDescent="0.2">
      <c r="A585" s="10" t="s">
        <v>332</v>
      </c>
      <c r="L585" s="9"/>
      <c r="N585" s="9"/>
      <c r="P585" s="9"/>
    </row>
    <row r="586" spans="1:22" ht="11.85" customHeight="1" x14ac:dyDescent="0.2">
      <c r="A586" s="3" t="s">
        <v>389</v>
      </c>
      <c r="C586" s="12">
        <v>0</v>
      </c>
      <c r="E586" s="12">
        <v>0</v>
      </c>
      <c r="G586" s="12">
        <v>0</v>
      </c>
      <c r="I586" s="12">
        <v>0</v>
      </c>
      <c r="K586" s="12">
        <v>0</v>
      </c>
      <c r="L586" s="9"/>
      <c r="M586" s="12">
        <v>0</v>
      </c>
      <c r="N586" s="9"/>
      <c r="O586" s="12">
        <v>0</v>
      </c>
      <c r="P586" s="9"/>
      <c r="Q586" s="12">
        <f>M586+O586</f>
        <v>0</v>
      </c>
      <c r="T586" s="11"/>
    </row>
    <row r="587" spans="1:22" ht="11.85" customHeight="1" x14ac:dyDescent="0.2">
      <c r="A587" s="3" t="s">
        <v>336</v>
      </c>
      <c r="C587" s="2">
        <f>SUM(C586)</f>
        <v>0</v>
      </c>
      <c r="E587" s="2">
        <f>SUM(E586)</f>
        <v>0</v>
      </c>
      <c r="G587" s="2">
        <f>SUM(G586)</f>
        <v>0</v>
      </c>
      <c r="I587" s="2">
        <f>SUM(I586)</f>
        <v>0</v>
      </c>
      <c r="K587" s="2">
        <f>SUM(K586)</f>
        <v>0</v>
      </c>
      <c r="L587" s="9"/>
      <c r="M587" s="2">
        <f>SUM(M586)</f>
        <v>0</v>
      </c>
      <c r="N587" s="9"/>
      <c r="O587" s="2">
        <f>SUM(O586)</f>
        <v>0</v>
      </c>
      <c r="P587" s="9"/>
      <c r="Q587" s="2">
        <f>SUM(Q586)</f>
        <v>0</v>
      </c>
    </row>
    <row r="588" spans="1:22" ht="11.85" customHeight="1" x14ac:dyDescent="0.2">
      <c r="L588" s="9"/>
      <c r="N588" s="9"/>
      <c r="P588" s="9"/>
    </row>
    <row r="589" spans="1:22" ht="11.85" customHeight="1" x14ac:dyDescent="0.2">
      <c r="A589" s="3" t="s">
        <v>390</v>
      </c>
      <c r="C589" s="2">
        <f>C522+C538+C578+C583+C587</f>
        <v>341844.45999999996</v>
      </c>
      <c r="E589" s="2">
        <f>E522+E538+E578+E583+E587</f>
        <v>527627.29</v>
      </c>
      <c r="G589" s="2">
        <f>G522+G538+G578+G583+G587</f>
        <v>465351.26</v>
      </c>
      <c r="I589" s="2">
        <f>I522+I538+I578+I583+I587</f>
        <v>586579</v>
      </c>
      <c r="K589" s="2">
        <f>K522+K538+K578+K583+K587</f>
        <v>613277</v>
      </c>
      <c r="L589" s="9"/>
      <c r="M589" s="2">
        <f>M522+M538+M578+M583+M587</f>
        <v>719022</v>
      </c>
      <c r="N589" s="9"/>
      <c r="O589" s="2">
        <f>O522+O538+O578+O583+O587</f>
        <v>0</v>
      </c>
      <c r="P589" s="9"/>
      <c r="Q589" s="2">
        <f>Q522+Q538+Q578+Q583+Q587</f>
        <v>719022</v>
      </c>
      <c r="T589" s="11"/>
      <c r="U589" s="9"/>
    </row>
    <row r="590" spans="1:22" ht="11.85" customHeight="1" x14ac:dyDescent="0.2">
      <c r="L590" s="9"/>
      <c r="N590" s="9"/>
      <c r="P590" s="9"/>
    </row>
    <row r="591" spans="1:22" ht="11.85" customHeight="1" x14ac:dyDescent="0.2">
      <c r="L591" s="9"/>
      <c r="N591" s="9"/>
      <c r="P591" s="9"/>
    </row>
    <row r="592" spans="1:22" ht="11.85" customHeight="1" x14ac:dyDescent="0.2">
      <c r="L592" s="9"/>
      <c r="N592" s="9"/>
      <c r="P592" s="9"/>
    </row>
    <row r="593" spans="12:16" ht="11.85" customHeight="1" x14ac:dyDescent="0.2">
      <c r="L593" s="9"/>
      <c r="N593" s="9"/>
      <c r="P593" s="9"/>
    </row>
    <row r="594" spans="12:16" ht="11.85" customHeight="1" x14ac:dyDescent="0.2">
      <c r="L594" s="9"/>
      <c r="N594" s="9"/>
      <c r="P594" s="9"/>
    </row>
    <row r="595" spans="12:16" ht="11.85" customHeight="1" x14ac:dyDescent="0.2">
      <c r="L595" s="9"/>
      <c r="N595" s="9"/>
      <c r="P595" s="9"/>
    </row>
    <row r="596" spans="12:16" ht="11.85" customHeight="1" x14ac:dyDescent="0.2">
      <c r="L596" s="9"/>
      <c r="N596" s="9"/>
      <c r="P596" s="9"/>
    </row>
    <row r="597" spans="12:16" ht="11.85" customHeight="1" x14ac:dyDescent="0.2">
      <c r="L597" s="9"/>
      <c r="N597" s="9"/>
      <c r="P597" s="9"/>
    </row>
    <row r="598" spans="12:16" ht="11.85" customHeight="1" x14ac:dyDescent="0.2">
      <c r="L598" s="9"/>
      <c r="N598" s="9"/>
      <c r="P598" s="9"/>
    </row>
    <row r="599" spans="12:16" ht="11.85" customHeight="1" x14ac:dyDescent="0.2">
      <c r="L599" s="9"/>
      <c r="N599" s="9"/>
      <c r="P599" s="9"/>
    </row>
    <row r="600" spans="12:16" ht="11.85" customHeight="1" x14ac:dyDescent="0.2">
      <c r="L600" s="9"/>
      <c r="N600" s="9"/>
      <c r="P600" s="9"/>
    </row>
    <row r="601" spans="12:16" ht="11.85" customHeight="1" x14ac:dyDescent="0.2">
      <c r="L601" s="9"/>
      <c r="N601" s="9"/>
      <c r="P601" s="9"/>
    </row>
    <row r="602" spans="12:16" ht="11.85" customHeight="1" x14ac:dyDescent="0.2">
      <c r="L602" s="9"/>
      <c r="N602" s="9"/>
      <c r="P602" s="9"/>
    </row>
    <row r="603" spans="12:16" ht="11.85" customHeight="1" x14ac:dyDescent="0.2">
      <c r="L603" s="9"/>
      <c r="N603" s="9"/>
      <c r="P603" s="9"/>
    </row>
    <row r="604" spans="12:16" ht="11.85" customHeight="1" x14ac:dyDescent="0.2">
      <c r="L604" s="9"/>
      <c r="N604" s="9"/>
      <c r="P604" s="9"/>
    </row>
    <row r="605" spans="12:16" ht="11.85" customHeight="1" x14ac:dyDescent="0.2">
      <c r="L605" s="9"/>
      <c r="N605" s="9"/>
      <c r="P605" s="9"/>
    </row>
    <row r="606" spans="12:16" ht="11.85" customHeight="1" x14ac:dyDescent="0.2">
      <c r="L606" s="9"/>
      <c r="N606" s="9"/>
      <c r="P606" s="9"/>
    </row>
    <row r="607" spans="12:16" ht="11.85" customHeight="1" x14ac:dyDescent="0.2">
      <c r="L607" s="9"/>
      <c r="N607" s="9"/>
      <c r="P607" s="9"/>
    </row>
    <row r="608" spans="12:16" ht="11.85" customHeight="1" x14ac:dyDescent="0.2">
      <c r="L608" s="9"/>
      <c r="N608" s="9"/>
      <c r="P608" s="9"/>
    </row>
    <row r="609" spans="12:16" ht="11.85" customHeight="1" x14ac:dyDescent="0.2">
      <c r="L609" s="9"/>
      <c r="N609" s="9"/>
      <c r="P609" s="9"/>
    </row>
    <row r="610" spans="12:16" ht="11.85" customHeight="1" x14ac:dyDescent="0.2">
      <c r="L610" s="9"/>
      <c r="N610" s="9"/>
      <c r="P610" s="9"/>
    </row>
    <row r="611" spans="12:16" ht="11.85" customHeight="1" x14ac:dyDescent="0.2">
      <c r="L611" s="9"/>
      <c r="N611" s="9"/>
      <c r="P611" s="9"/>
    </row>
    <row r="612" spans="12:16" ht="11.85" customHeight="1" x14ac:dyDescent="0.2">
      <c r="L612" s="9"/>
      <c r="N612" s="9"/>
      <c r="P612" s="9"/>
    </row>
    <row r="613" spans="12:16" ht="11.85" customHeight="1" x14ac:dyDescent="0.2">
      <c r="L613" s="9"/>
      <c r="N613" s="9"/>
      <c r="P613" s="9"/>
    </row>
    <row r="614" spans="12:16" ht="11.85" customHeight="1" x14ac:dyDescent="0.2">
      <c r="L614" s="9"/>
      <c r="N614" s="9"/>
      <c r="P614" s="9"/>
    </row>
    <row r="615" spans="12:16" ht="11.85" customHeight="1" x14ac:dyDescent="0.2">
      <c r="L615" s="9"/>
      <c r="N615" s="9"/>
      <c r="P615" s="9"/>
    </row>
    <row r="616" spans="12:16" ht="11.85" customHeight="1" x14ac:dyDescent="0.2">
      <c r="L616" s="9"/>
      <c r="N616" s="9"/>
      <c r="P616" s="9"/>
    </row>
    <row r="617" spans="12:16" ht="11.85" customHeight="1" x14ac:dyDescent="0.2">
      <c r="L617" s="9"/>
      <c r="N617" s="9"/>
      <c r="P617" s="9"/>
    </row>
    <row r="618" spans="12:16" ht="11.85" customHeight="1" x14ac:dyDescent="0.2">
      <c r="L618" s="9"/>
      <c r="N618" s="9"/>
      <c r="P618" s="9"/>
    </row>
    <row r="619" spans="12:16" ht="11.85" customHeight="1" x14ac:dyDescent="0.2">
      <c r="L619" s="9"/>
      <c r="N619" s="9"/>
      <c r="P619" s="9"/>
    </row>
    <row r="620" spans="12:16" ht="11.85" customHeight="1" x14ac:dyDescent="0.2">
      <c r="L620" s="9"/>
      <c r="N620" s="9"/>
      <c r="P620" s="9"/>
    </row>
    <row r="621" spans="12:16" ht="11.85" customHeight="1" x14ac:dyDescent="0.2">
      <c r="L621" s="9"/>
      <c r="N621" s="9"/>
      <c r="P621" s="9"/>
    </row>
    <row r="622" spans="12:16" ht="11.85" customHeight="1" x14ac:dyDescent="0.2">
      <c r="L622" s="9"/>
      <c r="N622" s="9"/>
      <c r="P622" s="9"/>
    </row>
    <row r="623" spans="12:16" ht="11.85" customHeight="1" x14ac:dyDescent="0.2">
      <c r="L623" s="9"/>
      <c r="N623" s="9"/>
      <c r="P623" s="9"/>
    </row>
    <row r="624" spans="12:16" ht="11.85" customHeight="1" x14ac:dyDescent="0.2">
      <c r="L624" s="9"/>
      <c r="N624" s="9"/>
      <c r="P624" s="9"/>
    </row>
    <row r="625" spans="1:20" ht="11.85" customHeight="1" x14ac:dyDescent="0.2">
      <c r="L625" s="9"/>
      <c r="N625" s="9"/>
      <c r="P625" s="9"/>
    </row>
    <row r="626" spans="1:20" ht="11.85" customHeight="1" x14ac:dyDescent="0.2">
      <c r="L626" s="9"/>
      <c r="N626" s="9"/>
      <c r="P626" s="9"/>
    </row>
    <row r="627" spans="1:20" ht="11.85" customHeight="1" x14ac:dyDescent="0.2">
      <c r="L627" s="9"/>
      <c r="N627" s="9"/>
      <c r="P627" s="9"/>
    </row>
    <row r="628" spans="1:20" ht="11.85" customHeight="1" x14ac:dyDescent="0.2">
      <c r="L628" s="9"/>
      <c r="N628" s="9"/>
      <c r="P628" s="9"/>
    </row>
    <row r="629" spans="1:20" ht="11.85" customHeight="1" x14ac:dyDescent="0.2">
      <c r="A629" s="1"/>
      <c r="B629" s="1"/>
      <c r="E629" s="2" t="str">
        <f>$E$1</f>
        <v>CITY OF BRADY</v>
      </c>
    </row>
    <row r="630" spans="1:20" ht="11.85" customHeight="1" x14ac:dyDescent="0.2">
      <c r="E630" s="2" t="str">
        <f>$E$2</f>
        <v>BUDGET REPORT</v>
      </c>
    </row>
    <row r="631" spans="1:20" ht="11.85" customHeight="1" x14ac:dyDescent="0.2">
      <c r="E631" s="2" t="str">
        <f>$E$3</f>
        <v>FISCAL YEAR 2024 - 2025</v>
      </c>
    </row>
    <row r="632" spans="1:20" ht="11.85" customHeight="1" x14ac:dyDescent="0.2">
      <c r="A632" s="3" t="s">
        <v>3</v>
      </c>
    </row>
    <row r="633" spans="1:20" ht="11.85" customHeight="1" x14ac:dyDescent="0.2">
      <c r="A633" s="3" t="s">
        <v>391</v>
      </c>
    </row>
    <row r="634" spans="1:20" ht="11.85" customHeight="1" x14ac:dyDescent="0.2">
      <c r="I634" s="53" t="str">
        <f>+I6</f>
        <v>(----- 2023-2024------)</v>
      </c>
      <c r="J634" s="53"/>
      <c r="K634" s="53"/>
      <c r="L634" s="6"/>
      <c r="M634" s="54" t="str">
        <f>$M$6</f>
        <v>2024-2025</v>
      </c>
      <c r="N634" s="54"/>
      <c r="O634" s="54"/>
      <c r="P634" s="54"/>
      <c r="Q634" s="54"/>
    </row>
    <row r="635" spans="1:20" ht="11.85" customHeight="1" x14ac:dyDescent="0.2">
      <c r="C635" s="5" t="str">
        <f>$C$7</f>
        <v>2020-2021</v>
      </c>
      <c r="D635" s="5"/>
      <c r="E635" s="5" t="str">
        <f>$E$7</f>
        <v>2021-2022</v>
      </c>
      <c r="F635" s="5"/>
      <c r="G635" s="5" t="str">
        <f>$G$7</f>
        <v>2022-2023</v>
      </c>
      <c r="H635" s="5"/>
      <c r="I635" s="5" t="s">
        <v>9</v>
      </c>
      <c r="J635" s="5"/>
      <c r="K635" s="5" t="str">
        <f>+$K$7</f>
        <v>PROJECTED</v>
      </c>
      <c r="L635" s="6"/>
      <c r="M635" s="5">
        <f>$M$7</f>
        <v>0</v>
      </c>
      <c r="N635" s="6"/>
      <c r="O635" s="5" t="str">
        <f>$O$7</f>
        <v>2024-2025</v>
      </c>
      <c r="P635" s="6"/>
      <c r="Q635" s="5" t="str">
        <f>$Q$7</f>
        <v>APPROVED</v>
      </c>
    </row>
    <row r="636" spans="1:20" ht="11.85" customHeight="1" x14ac:dyDescent="0.2">
      <c r="A636" s="7" t="s">
        <v>273</v>
      </c>
      <c r="C636" s="8" t="s">
        <v>12</v>
      </c>
      <c r="D636" s="5"/>
      <c r="E636" s="8" t="s">
        <v>12</v>
      </c>
      <c r="F636" s="5"/>
      <c r="G636" s="8" t="s">
        <v>12</v>
      </c>
      <c r="H636" s="5"/>
      <c r="I636" s="8" t="s">
        <v>13</v>
      </c>
      <c r="J636" s="5"/>
      <c r="K636" s="8" t="s">
        <v>13</v>
      </c>
      <c r="L636" s="6"/>
      <c r="M636" s="8" t="str">
        <f>$M$8</f>
        <v>BASE</v>
      </c>
      <c r="N636" s="6"/>
      <c r="O636" s="8" t="str">
        <f>$O$8</f>
        <v>SUPPLEMENTAL</v>
      </c>
      <c r="P636" s="6"/>
      <c r="Q636" s="8" t="str">
        <f>$Q$8</f>
        <v>BUDGET</v>
      </c>
    </row>
    <row r="637" spans="1:20" ht="11.85" customHeight="1" x14ac:dyDescent="0.2"/>
    <row r="638" spans="1:20" ht="11.85" customHeight="1" x14ac:dyDescent="0.2">
      <c r="A638" s="10" t="s">
        <v>274</v>
      </c>
    </row>
    <row r="639" spans="1:20" ht="11.85" customHeight="1" x14ac:dyDescent="0.2">
      <c r="A639" s="3" t="s">
        <v>392</v>
      </c>
      <c r="C639" s="2">
        <v>184061.52</v>
      </c>
      <c r="E639" s="2">
        <v>194069.37</v>
      </c>
      <c r="G639" s="2">
        <v>230018.53</v>
      </c>
      <c r="I639" s="2">
        <v>257198</v>
      </c>
      <c r="K639" s="2">
        <v>257198</v>
      </c>
      <c r="L639" s="9"/>
      <c r="M639" s="2">
        <v>265387</v>
      </c>
      <c r="N639" s="9"/>
      <c r="O639" s="2">
        <v>0</v>
      </c>
      <c r="P639" s="9"/>
      <c r="Q639" s="2">
        <f t="shared" ref="Q639:Q647" si="23">M639+O639</f>
        <v>265387</v>
      </c>
      <c r="T639" s="11"/>
    </row>
    <row r="640" spans="1:20" ht="11.85" customHeight="1" x14ac:dyDescent="0.2">
      <c r="A640" s="3" t="s">
        <v>393</v>
      </c>
      <c r="C640" s="2">
        <v>10241.68</v>
      </c>
      <c r="E640" s="2">
        <v>5038.1400000000003</v>
      </c>
      <c r="G640" s="2">
        <v>6069.74</v>
      </c>
      <c r="I640" s="2">
        <v>7800</v>
      </c>
      <c r="K640" s="2">
        <v>7800</v>
      </c>
      <c r="L640" s="9"/>
      <c r="M640" s="2">
        <v>8000</v>
      </c>
      <c r="N640" s="9"/>
      <c r="O640" s="2">
        <v>0</v>
      </c>
      <c r="P640" s="9"/>
      <c r="Q640" s="2">
        <f t="shared" si="23"/>
        <v>8000</v>
      </c>
      <c r="T640" s="11"/>
    </row>
    <row r="641" spans="1:21" ht="11.85" customHeight="1" x14ac:dyDescent="0.2">
      <c r="A641" s="3" t="s">
        <v>394</v>
      </c>
      <c r="C641" s="2">
        <v>600</v>
      </c>
      <c r="E641" s="2">
        <v>600</v>
      </c>
      <c r="G641" s="2">
        <v>600</v>
      </c>
      <c r="I641" s="2">
        <v>600</v>
      </c>
      <c r="K641" s="2">
        <v>600</v>
      </c>
      <c r="L641" s="9"/>
      <c r="M641" s="2">
        <v>600</v>
      </c>
      <c r="N641" s="9"/>
      <c r="O641" s="2">
        <v>0</v>
      </c>
      <c r="P641" s="9"/>
      <c r="Q641" s="2">
        <f>M641+O641</f>
        <v>600</v>
      </c>
      <c r="T641" s="11"/>
    </row>
    <row r="642" spans="1:21" ht="11.85" customHeight="1" x14ac:dyDescent="0.2">
      <c r="A642" s="3" t="s">
        <v>395</v>
      </c>
      <c r="C642" s="2">
        <v>0</v>
      </c>
      <c r="E642" s="2">
        <v>0</v>
      </c>
      <c r="G642" s="2">
        <v>0</v>
      </c>
      <c r="I642" s="2">
        <v>0</v>
      </c>
      <c r="K642" s="2">
        <v>0</v>
      </c>
      <c r="L642" s="9"/>
      <c r="M642" s="2">
        <v>0</v>
      </c>
      <c r="N642" s="9"/>
      <c r="O642" s="2">
        <v>10920</v>
      </c>
      <c r="P642" s="9"/>
      <c r="Q642" s="2">
        <f>M642+O642</f>
        <v>10920</v>
      </c>
      <c r="T642" s="11"/>
    </row>
    <row r="643" spans="1:21" ht="11.85" customHeight="1" x14ac:dyDescent="0.2">
      <c r="A643" s="3" t="s">
        <v>396</v>
      </c>
      <c r="C643" s="2">
        <v>65764.73</v>
      </c>
      <c r="E643" s="2">
        <v>61553.88</v>
      </c>
      <c r="G643" s="2">
        <v>64717.78</v>
      </c>
      <c r="I643" s="2">
        <v>80220</v>
      </c>
      <c r="K643" s="2">
        <f>73220-8448</f>
        <v>64772</v>
      </c>
      <c r="L643" s="9"/>
      <c r="M643" s="2">
        <v>60849</v>
      </c>
      <c r="N643" s="9"/>
      <c r="O643" s="2">
        <v>0</v>
      </c>
      <c r="P643" s="9"/>
      <c r="Q643" s="2">
        <f t="shared" si="23"/>
        <v>60849</v>
      </c>
      <c r="T643" s="11"/>
    </row>
    <row r="644" spans="1:21" ht="11.85" customHeight="1" x14ac:dyDescent="0.2">
      <c r="A644" s="3" t="s">
        <v>397</v>
      </c>
      <c r="C644" s="2">
        <v>19456.150000000001</v>
      </c>
      <c r="E644" s="2">
        <v>19270.169999999998</v>
      </c>
      <c r="G644" s="2">
        <v>23055.38</v>
      </c>
      <c r="I644" s="2">
        <v>26387</v>
      </c>
      <c r="K644" s="2">
        <v>26387</v>
      </c>
      <c r="L644" s="9"/>
      <c r="M644" s="2">
        <v>26553</v>
      </c>
      <c r="N644" s="9"/>
      <c r="O644" s="2">
        <v>0</v>
      </c>
      <c r="P644" s="9"/>
      <c r="Q644" s="2">
        <f t="shared" si="23"/>
        <v>26553</v>
      </c>
      <c r="T644" s="11"/>
    </row>
    <row r="645" spans="1:21" ht="11.85" customHeight="1" x14ac:dyDescent="0.2">
      <c r="A645" s="3" t="s">
        <v>398</v>
      </c>
      <c r="C645" s="2">
        <v>3051.52</v>
      </c>
      <c r="E645" s="2">
        <v>3530.01</v>
      </c>
      <c r="G645" s="2">
        <v>4414.7299999999996</v>
      </c>
      <c r="I645" s="2">
        <v>4884</v>
      </c>
      <c r="K645" s="2">
        <v>4884</v>
      </c>
      <c r="L645" s="9"/>
      <c r="M645" s="2">
        <v>3244</v>
      </c>
      <c r="N645" s="9"/>
      <c r="O645" s="2">
        <v>0</v>
      </c>
      <c r="P645" s="9"/>
      <c r="Q645" s="2">
        <f t="shared" si="23"/>
        <v>3244</v>
      </c>
      <c r="T645" s="11"/>
    </row>
    <row r="646" spans="1:21" ht="11.85" customHeight="1" x14ac:dyDescent="0.2">
      <c r="A646" s="3" t="s">
        <v>399</v>
      </c>
      <c r="C646" s="2">
        <v>1644.7</v>
      </c>
      <c r="E646" s="2">
        <v>283.64</v>
      </c>
      <c r="G646" s="2">
        <v>57.23</v>
      </c>
      <c r="I646" s="2">
        <v>586</v>
      </c>
      <c r="K646" s="2">
        <v>586</v>
      </c>
      <c r="L646" s="9"/>
      <c r="M646" s="2">
        <v>540</v>
      </c>
      <c r="N646" s="9"/>
      <c r="O646" s="2">
        <v>0</v>
      </c>
      <c r="P646" s="9"/>
      <c r="Q646" s="2">
        <f t="shared" si="23"/>
        <v>540</v>
      </c>
      <c r="T646" s="11"/>
    </row>
    <row r="647" spans="1:21" ht="11.85" customHeight="1" x14ac:dyDescent="0.2">
      <c r="A647" s="3" t="s">
        <v>400</v>
      </c>
      <c r="C647" s="12">
        <v>14424.22</v>
      </c>
      <c r="E647" s="12">
        <v>15858.56</v>
      </c>
      <c r="G647" s="12">
        <v>18108.86</v>
      </c>
      <c r="I647" s="12">
        <v>20670</v>
      </c>
      <c r="K647" s="12">
        <v>20670</v>
      </c>
      <c r="L647" s="27"/>
      <c r="M647" s="12">
        <v>21324</v>
      </c>
      <c r="N647" s="27"/>
      <c r="O647" s="12">
        <v>0</v>
      </c>
      <c r="P647" s="9"/>
      <c r="Q647" s="12">
        <f t="shared" si="23"/>
        <v>21324</v>
      </c>
      <c r="T647" s="11"/>
    </row>
    <row r="648" spans="1:21" ht="11.85" customHeight="1" x14ac:dyDescent="0.2">
      <c r="A648" s="3" t="s">
        <v>285</v>
      </c>
      <c r="C648" s="2">
        <f>SUM(C639:C647)</f>
        <v>299244.52</v>
      </c>
      <c r="E648" s="2">
        <f>SUM(E639:E647)</f>
        <v>300203.77</v>
      </c>
      <c r="G648" s="2">
        <f>SUM(G639:G647)</f>
        <v>347042.24999999994</v>
      </c>
      <c r="I648" s="2">
        <f>SUM(I639:I647)</f>
        <v>398345</v>
      </c>
      <c r="K648" s="2">
        <f>SUM(K639:K647)</f>
        <v>382897</v>
      </c>
      <c r="L648" s="9"/>
      <c r="M648" s="2">
        <f>SUM(M639:M647)</f>
        <v>386497</v>
      </c>
      <c r="N648" s="9"/>
      <c r="O648" s="2">
        <f>SUM(O639:O647)</f>
        <v>10920</v>
      </c>
      <c r="P648" s="9"/>
      <c r="Q648" s="2">
        <f>SUM(Q639:Q647)</f>
        <v>397417</v>
      </c>
      <c r="R648" s="9"/>
      <c r="U648" s="9"/>
    </row>
    <row r="649" spans="1:21" ht="11.85" customHeight="1" x14ac:dyDescent="0.2">
      <c r="L649" s="9"/>
      <c r="N649" s="9"/>
      <c r="P649" s="9"/>
    </row>
    <row r="650" spans="1:21" ht="11.85" customHeight="1" x14ac:dyDescent="0.2">
      <c r="A650" s="10" t="s">
        <v>286</v>
      </c>
      <c r="L650" s="9"/>
      <c r="N650" s="9"/>
      <c r="P650" s="9"/>
    </row>
    <row r="651" spans="1:21" ht="11.85" customHeight="1" x14ac:dyDescent="0.2">
      <c r="A651" s="3" t="s">
        <v>401</v>
      </c>
      <c r="C651" s="2">
        <v>0</v>
      </c>
      <c r="E651" s="2">
        <v>0</v>
      </c>
      <c r="G651" s="2">
        <v>0</v>
      </c>
      <c r="I651" s="2">
        <v>0</v>
      </c>
      <c r="K651" s="2">
        <v>0</v>
      </c>
      <c r="L651" s="9"/>
      <c r="M651" s="2">
        <v>0</v>
      </c>
      <c r="N651" s="9"/>
      <c r="O651" s="2">
        <v>0</v>
      </c>
      <c r="P651" s="9"/>
      <c r="Q651" s="2">
        <f t="shared" ref="Q651:Q661" si="24">M651+O651</f>
        <v>0</v>
      </c>
      <c r="T651" s="11"/>
    </row>
    <row r="652" spans="1:21" ht="11.85" customHeight="1" x14ac:dyDescent="0.2">
      <c r="A652" s="3" t="s">
        <v>402</v>
      </c>
      <c r="C652" s="2">
        <v>50458.33</v>
      </c>
      <c r="E652" s="2">
        <v>50444.81</v>
      </c>
      <c r="G652" s="2">
        <v>55835.99</v>
      </c>
      <c r="I652" s="2">
        <v>50000</v>
      </c>
      <c r="K652" s="2">
        <v>50000</v>
      </c>
      <c r="L652" s="9"/>
      <c r="M652" s="2">
        <v>50000</v>
      </c>
      <c r="N652" s="9"/>
      <c r="O652" s="2">
        <v>0</v>
      </c>
      <c r="P652" s="9"/>
      <c r="Q652" s="2">
        <f t="shared" si="24"/>
        <v>50000</v>
      </c>
      <c r="T652" s="11"/>
    </row>
    <row r="653" spans="1:21" ht="11.85" customHeight="1" x14ac:dyDescent="0.2">
      <c r="A653" s="3" t="s">
        <v>403</v>
      </c>
      <c r="C653" s="2">
        <v>0</v>
      </c>
      <c r="E653" s="2">
        <v>0</v>
      </c>
      <c r="G653" s="2">
        <v>0</v>
      </c>
      <c r="I653" s="2">
        <v>500</v>
      </c>
      <c r="K653" s="2">
        <v>500</v>
      </c>
      <c r="L653" s="9"/>
      <c r="M653" s="2">
        <v>0</v>
      </c>
      <c r="N653" s="9"/>
      <c r="O653" s="2">
        <v>0</v>
      </c>
      <c r="P653" s="9"/>
      <c r="Q653" s="2">
        <f t="shared" si="24"/>
        <v>0</v>
      </c>
      <c r="T653" s="11"/>
    </row>
    <row r="654" spans="1:21" ht="11.85" customHeight="1" x14ac:dyDescent="0.2">
      <c r="A654" s="3" t="s">
        <v>404</v>
      </c>
      <c r="C654" s="2">
        <v>5694.29</v>
      </c>
      <c r="E654" s="2">
        <v>6312.51</v>
      </c>
      <c r="G654" s="2">
        <v>7210.99</v>
      </c>
      <c r="I654" s="2">
        <v>8300</v>
      </c>
      <c r="K654" s="2">
        <v>8300</v>
      </c>
      <c r="L654" s="9"/>
      <c r="M654" s="2">
        <v>8500</v>
      </c>
      <c r="N654" s="9"/>
      <c r="O654" s="2">
        <v>0</v>
      </c>
      <c r="P654" s="9"/>
      <c r="Q654" s="2">
        <f t="shared" si="24"/>
        <v>8500</v>
      </c>
      <c r="R654" s="28"/>
      <c r="T654" s="11"/>
    </row>
    <row r="655" spans="1:21" ht="11.85" customHeight="1" x14ac:dyDescent="0.2">
      <c r="A655" s="3" t="s">
        <v>405</v>
      </c>
      <c r="C655" s="2">
        <v>0</v>
      </c>
      <c r="E655" s="2">
        <v>0</v>
      </c>
      <c r="G655" s="2">
        <v>0</v>
      </c>
      <c r="I655" s="2">
        <v>0</v>
      </c>
      <c r="K655" s="2">
        <v>0</v>
      </c>
      <c r="L655" s="9"/>
      <c r="M655" s="2">
        <v>0</v>
      </c>
      <c r="N655" s="9"/>
      <c r="O655" s="2">
        <v>0</v>
      </c>
      <c r="P655" s="9"/>
      <c r="Q655" s="2">
        <f t="shared" si="24"/>
        <v>0</v>
      </c>
      <c r="T655" s="11"/>
    </row>
    <row r="656" spans="1:21" ht="11.85" hidden="1" customHeight="1" x14ac:dyDescent="0.2">
      <c r="A656" s="3" t="s">
        <v>406</v>
      </c>
      <c r="C656" s="2">
        <v>0</v>
      </c>
      <c r="E656" s="2">
        <v>0</v>
      </c>
      <c r="G656" s="2">
        <v>0</v>
      </c>
      <c r="I656" s="2">
        <v>0</v>
      </c>
      <c r="K656" s="2">
        <v>0</v>
      </c>
      <c r="L656" s="9"/>
      <c r="M656" s="2">
        <v>0</v>
      </c>
      <c r="N656" s="9"/>
      <c r="O656" s="2">
        <v>0</v>
      </c>
      <c r="P656" s="9"/>
      <c r="Q656" s="2">
        <f t="shared" si="24"/>
        <v>0</v>
      </c>
      <c r="T656" s="11"/>
    </row>
    <row r="657" spans="1:20" ht="11.85" customHeight="1" x14ac:dyDescent="0.2">
      <c r="A657" s="3" t="s">
        <v>407</v>
      </c>
      <c r="C657" s="2">
        <v>0</v>
      </c>
      <c r="E657" s="2">
        <v>0</v>
      </c>
      <c r="G657" s="2">
        <v>0</v>
      </c>
      <c r="I657" s="2">
        <v>500</v>
      </c>
      <c r="K657" s="2">
        <v>500</v>
      </c>
      <c r="L657" s="9"/>
      <c r="M657" s="2">
        <v>500</v>
      </c>
      <c r="N657" s="9"/>
      <c r="O657" s="2">
        <v>0</v>
      </c>
      <c r="P657" s="9"/>
      <c r="Q657" s="2">
        <f t="shared" si="24"/>
        <v>500</v>
      </c>
      <c r="T657" s="11"/>
    </row>
    <row r="658" spans="1:20" ht="11.85" customHeight="1" x14ac:dyDescent="0.2">
      <c r="A658" s="3" t="s">
        <v>408</v>
      </c>
      <c r="C658" s="2">
        <v>8684</v>
      </c>
      <c r="E658" s="2">
        <v>3817</v>
      </c>
      <c r="G658" s="2">
        <v>7496</v>
      </c>
      <c r="I658" s="2">
        <v>11000</v>
      </c>
      <c r="K658" s="2">
        <v>11000</v>
      </c>
      <c r="L658" s="9"/>
      <c r="M658" s="2">
        <v>11000</v>
      </c>
      <c r="N658" s="9"/>
      <c r="O658" s="2">
        <v>0</v>
      </c>
      <c r="P658" s="9"/>
      <c r="Q658" s="2">
        <f t="shared" si="24"/>
        <v>11000</v>
      </c>
      <c r="T658" s="11"/>
    </row>
    <row r="659" spans="1:20" ht="11.85" customHeight="1" x14ac:dyDescent="0.2">
      <c r="A659" s="3" t="s">
        <v>409</v>
      </c>
      <c r="C659" s="2">
        <v>675</v>
      </c>
      <c r="E659" s="2">
        <v>450</v>
      </c>
      <c r="G659" s="2">
        <v>150</v>
      </c>
      <c r="I659" s="2">
        <v>0</v>
      </c>
      <c r="K659" s="2">
        <v>0</v>
      </c>
      <c r="L659" s="9"/>
      <c r="M659" s="2">
        <v>0</v>
      </c>
      <c r="N659" s="9"/>
      <c r="O659" s="2">
        <v>0</v>
      </c>
      <c r="P659" s="9"/>
      <c r="Q659" s="2">
        <f t="shared" si="24"/>
        <v>0</v>
      </c>
      <c r="T659" s="11"/>
    </row>
    <row r="660" spans="1:20" ht="11.85" customHeight="1" x14ac:dyDescent="0.2">
      <c r="A660" s="3" t="s">
        <v>410</v>
      </c>
      <c r="C660" s="2">
        <v>234.6</v>
      </c>
      <c r="E660" s="2">
        <v>234.6</v>
      </c>
      <c r="G660" s="2">
        <v>280</v>
      </c>
      <c r="I660" s="2">
        <v>250</v>
      </c>
      <c r="K660" s="2">
        <v>250</v>
      </c>
      <c r="L660" s="9"/>
      <c r="M660" s="2">
        <v>250</v>
      </c>
      <c r="N660" s="9"/>
      <c r="O660" s="2">
        <v>0</v>
      </c>
      <c r="P660" s="9"/>
      <c r="Q660" s="2">
        <f t="shared" si="24"/>
        <v>250</v>
      </c>
      <c r="T660" s="11"/>
    </row>
    <row r="661" spans="1:20" ht="11.85" customHeight="1" x14ac:dyDescent="0.2">
      <c r="A661" s="3" t="s">
        <v>411</v>
      </c>
      <c r="C661" s="12">
        <v>0</v>
      </c>
      <c r="E661" s="12">
        <v>0</v>
      </c>
      <c r="G661" s="12">
        <v>0</v>
      </c>
      <c r="I661" s="12">
        <v>1600</v>
      </c>
      <c r="K661" s="12">
        <v>1600</v>
      </c>
      <c r="L661" s="9"/>
      <c r="M661" s="12">
        <v>0</v>
      </c>
      <c r="N661" s="9"/>
      <c r="O661" s="12">
        <v>0</v>
      </c>
      <c r="P661" s="9"/>
      <c r="Q661" s="12">
        <f t="shared" si="24"/>
        <v>0</v>
      </c>
      <c r="T661" s="11"/>
    </row>
    <row r="662" spans="1:20" ht="11.85" customHeight="1" x14ac:dyDescent="0.2">
      <c r="A662" s="3" t="s">
        <v>304</v>
      </c>
      <c r="C662" s="2">
        <f>SUM(C651:C661)</f>
        <v>65746.22</v>
      </c>
      <c r="E662" s="2">
        <f>SUM(E651:E661)</f>
        <v>61258.92</v>
      </c>
      <c r="G662" s="2">
        <f>SUM(G651:G661)</f>
        <v>70972.98</v>
      </c>
      <c r="I662" s="2">
        <f>SUM(I651:I661)</f>
        <v>72150</v>
      </c>
      <c r="K662" s="2">
        <f>SUM(K651:K661)</f>
        <v>72150</v>
      </c>
      <c r="L662" s="9"/>
      <c r="M662" s="2">
        <f>SUM(M651:M661)</f>
        <v>70250</v>
      </c>
      <c r="N662" s="9"/>
      <c r="O662" s="2">
        <f>SUM(O651:O661)</f>
        <v>0</v>
      </c>
      <c r="P662" s="9"/>
      <c r="Q662" s="2">
        <f>SUM(Q651:Q661)</f>
        <v>70250</v>
      </c>
    </row>
    <row r="663" spans="1:20" ht="11.85" customHeight="1" x14ac:dyDescent="0.2"/>
    <row r="664" spans="1:20" ht="11.85" customHeight="1" x14ac:dyDescent="0.2">
      <c r="A664" s="10" t="s">
        <v>305</v>
      </c>
    </row>
    <row r="665" spans="1:20" ht="11.85" customHeight="1" x14ac:dyDescent="0.2">
      <c r="A665" s="3" t="s">
        <v>412</v>
      </c>
      <c r="C665" s="2">
        <v>1136.4000000000001</v>
      </c>
      <c r="E665" s="2">
        <v>1446.3</v>
      </c>
      <c r="G665" s="2">
        <v>1133.77</v>
      </c>
      <c r="I665" s="2">
        <v>500</v>
      </c>
      <c r="K665" s="2">
        <v>500</v>
      </c>
      <c r="L665" s="9"/>
      <c r="M665" s="2">
        <v>1200</v>
      </c>
      <c r="N665" s="9"/>
      <c r="O665" s="2">
        <v>0</v>
      </c>
      <c r="P665" s="9"/>
      <c r="Q665" s="2">
        <f t="shared" ref="Q665:Q683" si="25">M665+O665</f>
        <v>1200</v>
      </c>
      <c r="T665" s="11"/>
    </row>
    <row r="666" spans="1:20" ht="11.85" customHeight="1" x14ac:dyDescent="0.2">
      <c r="A666" s="3" t="s">
        <v>413</v>
      </c>
      <c r="C666" s="2">
        <v>0</v>
      </c>
      <c r="E666" s="2">
        <v>0</v>
      </c>
      <c r="G666" s="2">
        <v>0</v>
      </c>
      <c r="I666" s="2">
        <v>0</v>
      </c>
      <c r="K666" s="2">
        <v>0</v>
      </c>
      <c r="L666" s="9"/>
      <c r="M666" s="2">
        <v>0</v>
      </c>
      <c r="N666" s="9"/>
      <c r="O666" s="2">
        <v>0</v>
      </c>
      <c r="P666" s="9"/>
      <c r="Q666" s="2">
        <f t="shared" si="25"/>
        <v>0</v>
      </c>
      <c r="T666" s="11"/>
    </row>
    <row r="667" spans="1:20" ht="11.85" customHeight="1" x14ac:dyDescent="0.2">
      <c r="A667" s="3" t="s">
        <v>414</v>
      </c>
      <c r="C667" s="2">
        <v>11226.64</v>
      </c>
      <c r="E667" s="2">
        <v>10203.209999999999</v>
      </c>
      <c r="G667" s="2">
        <v>9764.44</v>
      </c>
      <c r="I667" s="2">
        <v>10500</v>
      </c>
      <c r="K667" s="2">
        <v>10500</v>
      </c>
      <c r="L667" s="9"/>
      <c r="M667" s="2">
        <v>10500</v>
      </c>
      <c r="N667" s="9"/>
      <c r="O667" s="2">
        <v>0</v>
      </c>
      <c r="P667" s="9"/>
      <c r="Q667" s="2">
        <f t="shared" si="25"/>
        <v>10500</v>
      </c>
      <c r="T667" s="11"/>
    </row>
    <row r="668" spans="1:20" ht="11.85" customHeight="1" x14ac:dyDescent="0.2">
      <c r="A668" s="3" t="s">
        <v>415</v>
      </c>
      <c r="C668" s="2">
        <v>13411.59</v>
      </c>
      <c r="E668" s="2">
        <v>18241.900000000001</v>
      </c>
      <c r="G668" s="2">
        <v>21838.799999999999</v>
      </c>
      <c r="I668" s="2">
        <v>20000</v>
      </c>
      <c r="K668" s="2">
        <v>20000</v>
      </c>
      <c r="L668" s="9"/>
      <c r="M668" s="2">
        <v>20000</v>
      </c>
      <c r="N668" s="9"/>
      <c r="O668" s="2">
        <v>0</v>
      </c>
      <c r="P668" s="9"/>
      <c r="Q668" s="2">
        <f t="shared" si="25"/>
        <v>20000</v>
      </c>
      <c r="T668" s="11"/>
    </row>
    <row r="669" spans="1:20" ht="11.85" customHeight="1" x14ac:dyDescent="0.2">
      <c r="A669" s="3" t="s">
        <v>416</v>
      </c>
      <c r="C669" s="2">
        <v>2017.5</v>
      </c>
      <c r="E669" s="2">
        <v>5770.06</v>
      </c>
      <c r="G669" s="2">
        <v>6742.14</v>
      </c>
      <c r="I669" s="2">
        <v>7000</v>
      </c>
      <c r="K669" s="2">
        <v>7000</v>
      </c>
      <c r="L669" s="9"/>
      <c r="M669" s="2">
        <v>7000</v>
      </c>
      <c r="N669" s="9"/>
      <c r="O669" s="2">
        <v>0</v>
      </c>
      <c r="P669" s="9"/>
      <c r="Q669" s="2">
        <f t="shared" si="25"/>
        <v>7000</v>
      </c>
      <c r="T669" s="11"/>
    </row>
    <row r="670" spans="1:20" ht="11.85" customHeight="1" x14ac:dyDescent="0.2">
      <c r="A670" s="3" t="s">
        <v>417</v>
      </c>
      <c r="C670" s="2">
        <v>0</v>
      </c>
      <c r="E670" s="2">
        <v>0</v>
      </c>
      <c r="G670" s="2">
        <v>0</v>
      </c>
      <c r="I670" s="2">
        <v>0</v>
      </c>
      <c r="K670" s="2">
        <v>0</v>
      </c>
      <c r="L670" s="9"/>
      <c r="M670" s="2">
        <v>0</v>
      </c>
      <c r="N670" s="9"/>
      <c r="O670" s="2">
        <v>0</v>
      </c>
      <c r="P670" s="9"/>
      <c r="Q670" s="2">
        <f t="shared" si="25"/>
        <v>0</v>
      </c>
      <c r="T670" s="11"/>
    </row>
    <row r="671" spans="1:20" ht="11.85" customHeight="1" x14ac:dyDescent="0.2">
      <c r="A671" s="3" t="s">
        <v>418</v>
      </c>
      <c r="C671" s="2">
        <v>2438.56</v>
      </c>
      <c r="E671" s="2">
        <v>3956.48</v>
      </c>
      <c r="G671" s="2">
        <v>6277.72</v>
      </c>
      <c r="I671" s="2">
        <v>8000</v>
      </c>
      <c r="K671" s="2">
        <v>8000</v>
      </c>
      <c r="L671" s="9"/>
      <c r="M671" s="2">
        <v>8000</v>
      </c>
      <c r="N671" s="9"/>
      <c r="O671" s="2">
        <v>0</v>
      </c>
      <c r="P671" s="9"/>
      <c r="Q671" s="2">
        <f t="shared" si="25"/>
        <v>8000</v>
      </c>
      <c r="T671" s="11"/>
    </row>
    <row r="672" spans="1:20" ht="11.85" customHeight="1" x14ac:dyDescent="0.2">
      <c r="A672" s="3" t="s">
        <v>419</v>
      </c>
      <c r="C672" s="2">
        <v>0</v>
      </c>
      <c r="E672" s="2">
        <v>0</v>
      </c>
      <c r="G672" s="2">
        <v>0</v>
      </c>
      <c r="I672" s="2">
        <v>100</v>
      </c>
      <c r="K672" s="2">
        <v>100</v>
      </c>
      <c r="L672" s="9"/>
      <c r="M672" s="2">
        <v>100</v>
      </c>
      <c r="N672" s="9"/>
      <c r="O672" s="2">
        <v>0</v>
      </c>
      <c r="P672" s="9"/>
      <c r="Q672" s="2">
        <f t="shared" si="25"/>
        <v>100</v>
      </c>
      <c r="T672" s="11"/>
    </row>
    <row r="673" spans="1:21" ht="11.85" customHeight="1" x14ac:dyDescent="0.2">
      <c r="A673" s="3" t="s">
        <v>420</v>
      </c>
      <c r="C673" s="2">
        <v>4083.33</v>
      </c>
      <c r="E673" s="2">
        <v>1703.82</v>
      </c>
      <c r="G673" s="2">
        <v>4288.8100000000004</v>
      </c>
      <c r="I673" s="2">
        <v>7000</v>
      </c>
      <c r="K673" s="2">
        <v>7000</v>
      </c>
      <c r="L673" s="9"/>
      <c r="M673" s="2">
        <v>7000</v>
      </c>
      <c r="N673" s="9"/>
      <c r="O673" s="2">
        <v>0</v>
      </c>
      <c r="P673" s="9"/>
      <c r="Q673" s="2">
        <f t="shared" si="25"/>
        <v>7000</v>
      </c>
      <c r="T673" s="11"/>
    </row>
    <row r="674" spans="1:21" ht="11.85" customHeight="1" x14ac:dyDescent="0.2">
      <c r="A674" s="3" t="s">
        <v>421</v>
      </c>
      <c r="C674" s="2">
        <v>10307.02</v>
      </c>
      <c r="E674" s="2">
        <v>10103.84</v>
      </c>
      <c r="G674" s="2">
        <v>9821.43</v>
      </c>
      <c r="I674" s="2">
        <v>10000</v>
      </c>
      <c r="K674" s="2">
        <v>10000</v>
      </c>
      <c r="L674" s="9"/>
      <c r="M674" s="2">
        <v>10000</v>
      </c>
      <c r="N674" s="9"/>
      <c r="O674" s="2">
        <v>0</v>
      </c>
      <c r="P674" s="9"/>
      <c r="Q674" s="2">
        <f t="shared" si="25"/>
        <v>10000</v>
      </c>
      <c r="T674" s="11"/>
    </row>
    <row r="675" spans="1:21" ht="11.85" customHeight="1" x14ac:dyDescent="0.2">
      <c r="A675" s="3" t="s">
        <v>422</v>
      </c>
      <c r="C675" s="2">
        <v>21214.92</v>
      </c>
      <c r="E675" s="2">
        <v>20339.97</v>
      </c>
      <c r="G675" s="2">
        <v>36017.199999999997</v>
      </c>
      <c r="I675" s="2">
        <v>40000</v>
      </c>
      <c r="K675" s="2">
        <f>40000-6000-6000-2500</f>
        <v>25500</v>
      </c>
      <c r="L675" s="9"/>
      <c r="M675" s="2">
        <v>28000</v>
      </c>
      <c r="N675" s="9"/>
      <c r="O675" s="2">
        <v>0</v>
      </c>
      <c r="P675" s="9"/>
      <c r="Q675" s="2">
        <f t="shared" si="25"/>
        <v>28000</v>
      </c>
      <c r="T675" s="11"/>
    </row>
    <row r="676" spans="1:21" ht="11.85" customHeight="1" x14ac:dyDescent="0.2">
      <c r="A676" s="3" t="s">
        <v>423</v>
      </c>
      <c r="C676" s="2">
        <v>2167.36</v>
      </c>
      <c r="E676" s="2">
        <v>778.5</v>
      </c>
      <c r="G676" s="2">
        <v>600</v>
      </c>
      <c r="I676" s="2">
        <v>1000</v>
      </c>
      <c r="K676" s="2">
        <v>1000</v>
      </c>
      <c r="L676" s="9"/>
      <c r="M676" s="2">
        <v>1000</v>
      </c>
      <c r="N676" s="9"/>
      <c r="O676" s="2">
        <v>0</v>
      </c>
      <c r="P676" s="9"/>
      <c r="Q676" s="2">
        <f t="shared" si="25"/>
        <v>1000</v>
      </c>
      <c r="T676" s="11"/>
    </row>
    <row r="677" spans="1:21" ht="11.85" customHeight="1" x14ac:dyDescent="0.2">
      <c r="A677" s="3" t="s">
        <v>424</v>
      </c>
      <c r="C677" s="2">
        <v>0</v>
      </c>
      <c r="E677" s="2">
        <v>0</v>
      </c>
      <c r="G677" s="2">
        <v>0</v>
      </c>
      <c r="I677" s="2">
        <v>250</v>
      </c>
      <c r="K677" s="2">
        <v>250</v>
      </c>
      <c r="L677" s="9"/>
      <c r="M677" s="2">
        <v>250</v>
      </c>
      <c r="N677" s="9"/>
      <c r="O677" s="2">
        <v>0</v>
      </c>
      <c r="P677" s="9"/>
      <c r="Q677" s="2">
        <f t="shared" si="25"/>
        <v>250</v>
      </c>
      <c r="T677" s="11"/>
    </row>
    <row r="678" spans="1:21" ht="11.85" customHeight="1" x14ac:dyDescent="0.2">
      <c r="A678" s="3" t="s">
        <v>425</v>
      </c>
      <c r="C678" s="2">
        <v>1651.88</v>
      </c>
      <c r="E678" s="2">
        <v>3406.16</v>
      </c>
      <c r="G678" s="2">
        <v>4961.3</v>
      </c>
      <c r="I678" s="2">
        <v>5000</v>
      </c>
      <c r="K678" s="2">
        <v>5000</v>
      </c>
      <c r="L678" s="9"/>
      <c r="M678" s="2">
        <v>5000</v>
      </c>
      <c r="N678" s="9"/>
      <c r="O678" s="2">
        <v>0</v>
      </c>
      <c r="P678" s="9"/>
      <c r="Q678" s="2">
        <f t="shared" si="25"/>
        <v>5000</v>
      </c>
      <c r="T678" s="11"/>
    </row>
    <row r="679" spans="1:21" ht="11.85" customHeight="1" x14ac:dyDescent="0.2">
      <c r="A679" s="3" t="s">
        <v>426</v>
      </c>
      <c r="C679" s="2">
        <v>2207.75</v>
      </c>
      <c r="E679" s="2">
        <v>2322.41</v>
      </c>
      <c r="G679" s="2">
        <v>2232.0700000000002</v>
      </c>
      <c r="I679" s="2">
        <v>3600</v>
      </c>
      <c r="K679" s="2">
        <v>3600</v>
      </c>
      <c r="L679" s="9"/>
      <c r="M679" s="2">
        <v>3000</v>
      </c>
      <c r="N679" s="9"/>
      <c r="O679" s="2">
        <v>0</v>
      </c>
      <c r="P679" s="9"/>
      <c r="Q679" s="2">
        <f t="shared" si="25"/>
        <v>3000</v>
      </c>
      <c r="T679" s="11"/>
    </row>
    <row r="680" spans="1:21" ht="11.85" customHeight="1" x14ac:dyDescent="0.2">
      <c r="A680" s="3" t="s">
        <v>427</v>
      </c>
      <c r="C680" s="2">
        <v>0</v>
      </c>
      <c r="E680" s="2">
        <v>0</v>
      </c>
      <c r="G680" s="2">
        <v>1105.6400000000001</v>
      </c>
      <c r="K680" s="2">
        <v>2500</v>
      </c>
      <c r="L680" s="9"/>
      <c r="M680" s="2">
        <v>2500</v>
      </c>
      <c r="N680" s="9"/>
      <c r="O680" s="2">
        <v>0</v>
      </c>
      <c r="P680" s="9"/>
      <c r="Q680" s="2">
        <f t="shared" si="25"/>
        <v>2500</v>
      </c>
      <c r="T680" s="11"/>
    </row>
    <row r="681" spans="1:21" ht="11.85" hidden="1" customHeight="1" x14ac:dyDescent="0.2">
      <c r="A681" s="3" t="s">
        <v>428</v>
      </c>
      <c r="C681" s="2">
        <v>0</v>
      </c>
      <c r="E681" s="2">
        <v>0</v>
      </c>
      <c r="G681" s="2">
        <v>0</v>
      </c>
      <c r="I681" s="2">
        <v>0</v>
      </c>
      <c r="K681" s="2">
        <v>0</v>
      </c>
      <c r="L681" s="9"/>
      <c r="M681" s="2">
        <v>0</v>
      </c>
      <c r="N681" s="9"/>
      <c r="O681" s="2">
        <v>0</v>
      </c>
      <c r="P681" s="9"/>
      <c r="Q681" s="2">
        <f t="shared" si="25"/>
        <v>0</v>
      </c>
      <c r="T681" s="11"/>
    </row>
    <row r="682" spans="1:21" ht="11.85" customHeight="1" x14ac:dyDescent="0.2">
      <c r="A682" s="3" t="s">
        <v>429</v>
      </c>
      <c r="C682" s="2">
        <v>372.9</v>
      </c>
      <c r="E682" s="2">
        <v>1382.83</v>
      </c>
      <c r="G682" s="2">
        <v>3864.79</v>
      </c>
      <c r="I682" s="2">
        <v>5700</v>
      </c>
      <c r="K682" s="2">
        <v>5700</v>
      </c>
      <c r="L682" s="9"/>
      <c r="M682" s="2">
        <v>5200</v>
      </c>
      <c r="N682" s="9"/>
      <c r="O682" s="2">
        <v>0</v>
      </c>
      <c r="P682" s="9"/>
      <c r="Q682" s="2">
        <f t="shared" si="25"/>
        <v>5200</v>
      </c>
      <c r="T682" s="11"/>
    </row>
    <row r="683" spans="1:21" ht="11.85" customHeight="1" x14ac:dyDescent="0.2">
      <c r="A683" s="3" t="s">
        <v>430</v>
      </c>
      <c r="C683" s="12">
        <v>2318.34</v>
      </c>
      <c r="E683" s="12">
        <v>7462.79</v>
      </c>
      <c r="G683" s="12">
        <v>18709.900000000001</v>
      </c>
      <c r="I683" s="12">
        <v>28500</v>
      </c>
      <c r="K683" s="12">
        <v>28500</v>
      </c>
      <c r="L683" s="9"/>
      <c r="M683" s="12">
        <v>33400</v>
      </c>
      <c r="N683" s="9"/>
      <c r="O683" s="12">
        <v>0</v>
      </c>
      <c r="P683" s="9"/>
      <c r="Q683" s="12">
        <f t="shared" si="25"/>
        <v>33400</v>
      </c>
      <c r="T683" s="11"/>
    </row>
    <row r="684" spans="1:21" ht="11.85" customHeight="1" x14ac:dyDescent="0.2">
      <c r="A684" s="3" t="s">
        <v>328</v>
      </c>
      <c r="C684" s="2">
        <f>SUM(C665:C675)+SUM(C676:C683)</f>
        <v>74554.189999999988</v>
      </c>
      <c r="E684" s="2">
        <f>SUM(E665:E675)+SUM(E676:E683)</f>
        <v>87118.27</v>
      </c>
      <c r="G684" s="2">
        <f>SUM(G665:G675)+SUM(G676:G683)</f>
        <v>127358.01</v>
      </c>
      <c r="I684" s="2">
        <f>SUM(I665:I675)+SUM(I676:I683)</f>
        <v>147150</v>
      </c>
      <c r="K684" s="2">
        <f>SUM(K665:K675)+SUM(K676:K683)</f>
        <v>135150</v>
      </c>
      <c r="L684" s="9"/>
      <c r="M684" s="2">
        <f>SUM(M665:M675)+SUM(M676:M683)</f>
        <v>142150</v>
      </c>
      <c r="N684" s="9"/>
      <c r="O684" s="2">
        <f>SUM(O665:O675)+SUM(O676:O683)</f>
        <v>0</v>
      </c>
      <c r="P684" s="9"/>
      <c r="Q684" s="2">
        <f>SUM(Q665:Q675)+SUM(Q676:Q683)</f>
        <v>142150</v>
      </c>
      <c r="R684" s="9"/>
      <c r="U684" s="9"/>
    </row>
    <row r="685" spans="1:21" ht="11.85" customHeight="1" x14ac:dyDescent="0.2">
      <c r="L685" s="9"/>
      <c r="N685" s="9"/>
      <c r="P685" s="9"/>
    </row>
    <row r="686" spans="1:21" ht="11.85" customHeight="1" x14ac:dyDescent="0.2">
      <c r="A686" s="3" t="s">
        <v>431</v>
      </c>
      <c r="C686" s="2">
        <v>0</v>
      </c>
      <c r="E686" s="2">
        <v>0</v>
      </c>
      <c r="G686" s="2">
        <v>0</v>
      </c>
      <c r="I686" s="2">
        <v>0</v>
      </c>
      <c r="K686" s="2">
        <v>0</v>
      </c>
      <c r="L686" s="9"/>
      <c r="M686" s="2">
        <v>0</v>
      </c>
      <c r="N686" s="9"/>
      <c r="O686" s="2">
        <v>0</v>
      </c>
      <c r="P686" s="9"/>
      <c r="Q686" s="2">
        <f>M686+O686</f>
        <v>0</v>
      </c>
      <c r="T686" s="11"/>
    </row>
    <row r="687" spans="1:21" ht="11.85" customHeight="1" x14ac:dyDescent="0.2">
      <c r="A687" s="3" t="s">
        <v>432</v>
      </c>
      <c r="C687" s="12">
        <v>25175</v>
      </c>
      <c r="E687" s="12">
        <v>55614.03</v>
      </c>
      <c r="G687" s="12">
        <v>36908.300000000003</v>
      </c>
      <c r="I687" s="12">
        <v>0</v>
      </c>
      <c r="K687" s="12">
        <v>55000</v>
      </c>
      <c r="L687" s="9"/>
      <c r="M687" s="12">
        <v>18600</v>
      </c>
      <c r="N687" s="9"/>
      <c r="O687" s="12">
        <v>0</v>
      </c>
      <c r="P687" s="9"/>
      <c r="Q687" s="12">
        <f>M687+O687</f>
        <v>18600</v>
      </c>
      <c r="T687" s="11"/>
    </row>
    <row r="688" spans="1:21" ht="11.85" customHeight="1" x14ac:dyDescent="0.2">
      <c r="A688" s="3" t="s">
        <v>331</v>
      </c>
      <c r="C688" s="2">
        <f>SUM(C686:C687)</f>
        <v>25175</v>
      </c>
      <c r="E688" s="2">
        <f>SUM(E686:E687)</f>
        <v>55614.03</v>
      </c>
      <c r="G688" s="2">
        <f>SUM(G686:G687)</f>
        <v>36908.300000000003</v>
      </c>
      <c r="I688" s="2">
        <f>SUM(I686:I687)</f>
        <v>0</v>
      </c>
      <c r="K688" s="2">
        <f>SUM(K686:K687)</f>
        <v>55000</v>
      </c>
      <c r="L688" s="9"/>
      <c r="M688" s="2">
        <f>SUM(M686:M687)</f>
        <v>18600</v>
      </c>
      <c r="N688" s="9"/>
      <c r="O688" s="2">
        <f>SUM(O686:O687)</f>
        <v>0</v>
      </c>
      <c r="P688" s="9"/>
      <c r="Q688" s="2">
        <f>SUM(Q686:Q687)</f>
        <v>18600</v>
      </c>
    </row>
    <row r="689" spans="1:21" ht="11.85" customHeight="1" x14ac:dyDescent="0.2">
      <c r="L689" s="9"/>
      <c r="N689" s="9"/>
      <c r="P689" s="9"/>
    </row>
    <row r="690" spans="1:21" ht="11.85" customHeight="1" x14ac:dyDescent="0.2">
      <c r="A690" s="10" t="s">
        <v>332</v>
      </c>
      <c r="L690" s="9"/>
      <c r="N690" s="9"/>
      <c r="P690" s="9"/>
    </row>
    <row r="691" spans="1:21" ht="11.85" customHeight="1" x14ac:dyDescent="0.2">
      <c r="A691" s="3" t="s">
        <v>433</v>
      </c>
      <c r="C691" s="12">
        <v>0</v>
      </c>
      <c r="E691" s="12">
        <v>0</v>
      </c>
      <c r="G691" s="12">
        <v>0</v>
      </c>
      <c r="I691" s="12">
        <v>0</v>
      </c>
      <c r="K691" s="12">
        <v>0</v>
      </c>
      <c r="L691" s="9"/>
      <c r="M691" s="12">
        <v>0</v>
      </c>
      <c r="N691" s="9"/>
      <c r="O691" s="12">
        <v>0</v>
      </c>
      <c r="P691" s="9"/>
      <c r="Q691" s="12">
        <f>M691+O691</f>
        <v>0</v>
      </c>
      <c r="T691" s="11"/>
    </row>
    <row r="692" spans="1:21" ht="11.85" customHeight="1" x14ac:dyDescent="0.2">
      <c r="A692" s="3" t="s">
        <v>336</v>
      </c>
      <c r="C692" s="2">
        <f>SUM(C691)</f>
        <v>0</v>
      </c>
      <c r="E692" s="2">
        <f>SUM(E691)</f>
        <v>0</v>
      </c>
      <c r="G692" s="2">
        <f>SUM(G691)</f>
        <v>0</v>
      </c>
      <c r="I692" s="2">
        <f>SUM(I691)</f>
        <v>0</v>
      </c>
      <c r="K692" s="2">
        <f>SUM(K691)</f>
        <v>0</v>
      </c>
      <c r="L692" s="9"/>
      <c r="M692" s="2">
        <f>SUM(M691)</f>
        <v>0</v>
      </c>
      <c r="N692" s="9"/>
      <c r="O692" s="2">
        <f>SUM(O691)</f>
        <v>0</v>
      </c>
      <c r="P692" s="9"/>
      <c r="Q692" s="2">
        <f>SUM(Q691)</f>
        <v>0</v>
      </c>
    </row>
    <row r="693" spans="1:21" ht="11.85" customHeight="1" x14ac:dyDescent="0.2">
      <c r="A693" s="3" t="s">
        <v>434</v>
      </c>
      <c r="C693" s="2">
        <f>C648+C662+C684+C688+C692</f>
        <v>464719.93</v>
      </c>
      <c r="E693" s="2">
        <f>E648+E662+E684+E688+E692</f>
        <v>504194.99</v>
      </c>
      <c r="G693" s="2">
        <f>G648+G662+G684+G688+G692</f>
        <v>582281.53999999992</v>
      </c>
      <c r="I693" s="2">
        <f>I648+I662+I684+I688+I692</f>
        <v>617645</v>
      </c>
      <c r="K693" s="2">
        <f>K648+K662+K684+K688+K692</f>
        <v>645197</v>
      </c>
      <c r="L693" s="9"/>
      <c r="M693" s="2">
        <f>M648+M662+M684+M688+M692</f>
        <v>617497</v>
      </c>
      <c r="N693" s="9"/>
      <c r="O693" s="2">
        <f>O648+O662+O684+O688+O692</f>
        <v>10920</v>
      </c>
      <c r="P693" s="9"/>
      <c r="Q693" s="2">
        <f>Q648+Q662+Q684+Q688+Q692</f>
        <v>628417</v>
      </c>
      <c r="T693" s="11"/>
      <c r="U693" s="9"/>
    </row>
    <row r="694" spans="1:21" ht="11.85" customHeight="1" x14ac:dyDescent="0.2">
      <c r="A694" s="1"/>
      <c r="B694" s="1"/>
      <c r="E694" s="2" t="str">
        <f>$E$1</f>
        <v>CITY OF BRADY</v>
      </c>
    </row>
    <row r="695" spans="1:21" ht="11.85" customHeight="1" x14ac:dyDescent="0.2">
      <c r="E695" s="2" t="str">
        <f>$E$2</f>
        <v>BUDGET REPORT</v>
      </c>
    </row>
    <row r="696" spans="1:21" ht="11.85" customHeight="1" x14ac:dyDescent="0.2">
      <c r="E696" s="2" t="str">
        <f>$E$3</f>
        <v>FISCAL YEAR 2024 - 2025</v>
      </c>
    </row>
    <row r="697" spans="1:21" ht="11.85" customHeight="1" x14ac:dyDescent="0.2"/>
    <row r="698" spans="1:21" ht="11.85" customHeight="1" x14ac:dyDescent="0.2">
      <c r="A698" s="3" t="s">
        <v>3</v>
      </c>
    </row>
    <row r="699" spans="1:21" ht="11.85" customHeight="1" x14ac:dyDescent="0.2">
      <c r="A699" s="3" t="s">
        <v>435</v>
      </c>
    </row>
    <row r="700" spans="1:21" ht="11.85" customHeight="1" x14ac:dyDescent="0.2">
      <c r="I700" s="53" t="str">
        <f>$I$6</f>
        <v>(----- 2023-2024------)</v>
      </c>
      <c r="J700" s="53"/>
      <c r="K700" s="53"/>
      <c r="L700" s="6"/>
      <c r="M700" s="54" t="str">
        <f>$M$6</f>
        <v>2024-2025</v>
      </c>
      <c r="N700" s="54"/>
      <c r="O700" s="54"/>
      <c r="P700" s="54"/>
      <c r="Q700" s="54"/>
    </row>
    <row r="701" spans="1:21" ht="11.85" customHeight="1" x14ac:dyDescent="0.2">
      <c r="C701" s="5" t="str">
        <f>$C$7</f>
        <v>2020-2021</v>
      </c>
      <c r="D701" s="5"/>
      <c r="E701" s="5" t="str">
        <f>$E$7</f>
        <v>2021-2022</v>
      </c>
      <c r="F701" s="5"/>
      <c r="G701" s="5" t="str">
        <f>$G$7</f>
        <v>2022-2023</v>
      </c>
      <c r="H701" s="5"/>
      <c r="I701" s="5" t="s">
        <v>9</v>
      </c>
      <c r="J701" s="5"/>
      <c r="K701" s="5" t="str">
        <f>+$K$7</f>
        <v>PROJECTED</v>
      </c>
      <c r="L701" s="6"/>
      <c r="M701" s="5">
        <f>$M$7</f>
        <v>0</v>
      </c>
      <c r="N701" s="6"/>
      <c r="O701" s="5" t="str">
        <f>$O$7</f>
        <v>2024-2025</v>
      </c>
      <c r="P701" s="6"/>
      <c r="Q701" s="5" t="str">
        <f>$Q$7</f>
        <v>APPROVED</v>
      </c>
    </row>
    <row r="702" spans="1:21" ht="11.85" customHeight="1" x14ac:dyDescent="0.2">
      <c r="A702" s="7" t="s">
        <v>273</v>
      </c>
      <c r="C702" s="8" t="s">
        <v>12</v>
      </c>
      <c r="D702" s="5"/>
      <c r="E702" s="8" t="s">
        <v>12</v>
      </c>
      <c r="F702" s="5"/>
      <c r="G702" s="8" t="s">
        <v>12</v>
      </c>
      <c r="H702" s="5"/>
      <c r="I702" s="8" t="s">
        <v>13</v>
      </c>
      <c r="J702" s="5"/>
      <c r="K702" s="8" t="s">
        <v>13</v>
      </c>
      <c r="L702" s="6"/>
      <c r="M702" s="8" t="str">
        <f>$M$8</f>
        <v>BASE</v>
      </c>
      <c r="N702" s="6"/>
      <c r="O702" s="8" t="str">
        <f>$O$8</f>
        <v>SUPPLEMENTAL</v>
      </c>
      <c r="P702" s="6"/>
      <c r="Q702" s="8" t="str">
        <f>$Q$8</f>
        <v>BUDGET</v>
      </c>
    </row>
    <row r="703" spans="1:21" ht="11.85" customHeight="1" x14ac:dyDescent="0.2"/>
    <row r="704" spans="1:21" ht="11.45" customHeight="1" x14ac:dyDescent="0.2">
      <c r="A704" s="10" t="s">
        <v>274</v>
      </c>
    </row>
    <row r="705" spans="1:21" ht="11.85" customHeight="1" x14ac:dyDescent="0.2">
      <c r="A705" s="3" t="s">
        <v>436</v>
      </c>
      <c r="C705" s="2">
        <v>3170</v>
      </c>
      <c r="E705" s="2">
        <v>3120</v>
      </c>
      <c r="G705" s="2">
        <v>3300</v>
      </c>
      <c r="I705" s="2">
        <v>4320</v>
      </c>
      <c r="K705" s="2">
        <v>4320</v>
      </c>
      <c r="L705" s="9"/>
      <c r="M705" s="2">
        <v>3120</v>
      </c>
      <c r="N705" s="9"/>
      <c r="O705" s="2">
        <v>0</v>
      </c>
      <c r="P705" s="9"/>
      <c r="Q705" s="2">
        <f t="shared" ref="Q705:Q710" si="26">M705+O705</f>
        <v>3120</v>
      </c>
      <c r="T705" s="11"/>
    </row>
    <row r="706" spans="1:21" ht="11.85" customHeight="1" x14ac:dyDescent="0.2">
      <c r="A706" s="3" t="s">
        <v>437</v>
      </c>
      <c r="C706" s="2">
        <v>0</v>
      </c>
      <c r="E706" s="2">
        <v>0</v>
      </c>
      <c r="G706" s="2">
        <v>85.29</v>
      </c>
      <c r="I706" s="2">
        <v>0</v>
      </c>
      <c r="K706" s="2">
        <v>0</v>
      </c>
      <c r="L706" s="9"/>
      <c r="M706" s="2">
        <v>0</v>
      </c>
      <c r="N706" s="9"/>
      <c r="O706" s="2">
        <v>0</v>
      </c>
      <c r="P706" s="9"/>
      <c r="Q706" s="2">
        <f t="shared" si="26"/>
        <v>0</v>
      </c>
      <c r="T706" s="11"/>
    </row>
    <row r="707" spans="1:21" ht="11.85" customHeight="1" x14ac:dyDescent="0.2">
      <c r="A707" s="3" t="s">
        <v>438</v>
      </c>
      <c r="C707" s="2">
        <v>6.41</v>
      </c>
      <c r="E707" s="2">
        <v>0</v>
      </c>
      <c r="G707" s="2">
        <v>35.49</v>
      </c>
      <c r="I707" s="2">
        <v>0</v>
      </c>
      <c r="K707" s="2">
        <v>0</v>
      </c>
      <c r="L707" s="9"/>
      <c r="M707" s="2">
        <v>0</v>
      </c>
      <c r="N707" s="9"/>
      <c r="O707" s="2">
        <v>0</v>
      </c>
      <c r="P707" s="9"/>
      <c r="Q707" s="2">
        <f t="shared" si="26"/>
        <v>0</v>
      </c>
      <c r="T707" s="11"/>
    </row>
    <row r="708" spans="1:21" ht="11.85" customHeight="1" x14ac:dyDescent="0.2">
      <c r="A708" s="3" t="s">
        <v>439</v>
      </c>
      <c r="C708" s="2">
        <v>6.71</v>
      </c>
      <c r="E708" s="2">
        <v>6.72</v>
      </c>
      <c r="G708" s="2">
        <v>8.67</v>
      </c>
      <c r="I708" s="2">
        <v>9</v>
      </c>
      <c r="K708" s="2">
        <v>9</v>
      </c>
      <c r="L708" s="9"/>
      <c r="M708" s="2">
        <v>9</v>
      </c>
      <c r="N708" s="9"/>
      <c r="O708" s="2">
        <v>0</v>
      </c>
      <c r="P708" s="9"/>
      <c r="Q708" s="2">
        <f t="shared" si="26"/>
        <v>9</v>
      </c>
      <c r="T708" s="11"/>
    </row>
    <row r="709" spans="1:21" ht="11.85" customHeight="1" x14ac:dyDescent="0.2">
      <c r="A709" s="3" t="s">
        <v>440</v>
      </c>
      <c r="C709" s="2">
        <v>0</v>
      </c>
      <c r="E709" s="2">
        <v>0</v>
      </c>
      <c r="G709" s="2">
        <v>0.25</v>
      </c>
      <c r="I709" s="2">
        <v>0</v>
      </c>
      <c r="K709" s="2">
        <v>0</v>
      </c>
      <c r="L709" s="9"/>
      <c r="M709" s="2">
        <v>0</v>
      </c>
      <c r="N709" s="9"/>
      <c r="O709" s="2">
        <v>0</v>
      </c>
      <c r="P709" s="9"/>
      <c r="Q709" s="2">
        <f t="shared" si="26"/>
        <v>0</v>
      </c>
      <c r="T709" s="11"/>
    </row>
    <row r="710" spans="1:21" ht="11.85" customHeight="1" x14ac:dyDescent="0.2">
      <c r="A710" s="3" t="s">
        <v>441</v>
      </c>
      <c r="C710" s="12">
        <v>247.59</v>
      </c>
      <c r="E710" s="12">
        <v>238.92</v>
      </c>
      <c r="G710" s="12">
        <v>280.5</v>
      </c>
      <c r="I710" s="12">
        <v>337</v>
      </c>
      <c r="K710" s="12">
        <v>337</v>
      </c>
      <c r="L710" s="9"/>
      <c r="M710" s="12">
        <v>243</v>
      </c>
      <c r="N710" s="9"/>
      <c r="O710" s="12">
        <v>0</v>
      </c>
      <c r="P710" s="9"/>
      <c r="Q710" s="12">
        <f t="shared" si="26"/>
        <v>243</v>
      </c>
      <c r="T710" s="11"/>
      <c r="U710" s="9"/>
    </row>
    <row r="711" spans="1:21" ht="11.85" customHeight="1" x14ac:dyDescent="0.2">
      <c r="A711" s="3" t="s">
        <v>285</v>
      </c>
      <c r="C711" s="2">
        <f>SUM(C705:C710)</f>
        <v>3430.71</v>
      </c>
      <c r="E711" s="2">
        <f>SUM(E705:E710)</f>
        <v>3365.64</v>
      </c>
      <c r="G711" s="2">
        <f>SUM(G705:G710)</f>
        <v>3710.2</v>
      </c>
      <c r="I711" s="2">
        <f>SUM(I705:I710)</f>
        <v>4666</v>
      </c>
      <c r="K711" s="2">
        <f>SUM(K705:K710)</f>
        <v>4666</v>
      </c>
      <c r="L711" s="9"/>
      <c r="M711" s="2">
        <f>SUM(M705:M710)</f>
        <v>3372</v>
      </c>
      <c r="N711" s="9"/>
      <c r="O711" s="2">
        <f>SUM(O705:O710)</f>
        <v>0</v>
      </c>
      <c r="P711" s="9"/>
      <c r="Q711" s="2">
        <f>SUM(Q705:Q710)</f>
        <v>3372</v>
      </c>
    </row>
    <row r="712" spans="1:21" ht="11.85" customHeight="1" x14ac:dyDescent="0.2"/>
    <row r="713" spans="1:21" ht="11.85" customHeight="1" x14ac:dyDescent="0.2">
      <c r="A713" s="10" t="s">
        <v>286</v>
      </c>
    </row>
    <row r="714" spans="1:21" ht="11.85" customHeight="1" x14ac:dyDescent="0.2">
      <c r="A714" s="3" t="s">
        <v>442</v>
      </c>
      <c r="C714" s="2">
        <v>1759.4</v>
      </c>
      <c r="E714" s="2">
        <v>1759.4</v>
      </c>
      <c r="G714" s="2">
        <v>1854.75</v>
      </c>
      <c r="I714" s="2">
        <v>1900</v>
      </c>
      <c r="K714" s="2">
        <v>1900</v>
      </c>
      <c r="L714" s="9"/>
      <c r="M714" s="2">
        <v>1900</v>
      </c>
      <c r="N714" s="9"/>
      <c r="O714" s="2">
        <v>0</v>
      </c>
      <c r="P714" s="9"/>
      <c r="Q714" s="2">
        <f t="shared" ref="Q714:Q721" si="27">M714+O714</f>
        <v>1900</v>
      </c>
      <c r="T714" s="11"/>
    </row>
    <row r="715" spans="1:21" ht="11.85" hidden="1" customHeight="1" x14ac:dyDescent="0.2">
      <c r="A715" s="3" t="s">
        <v>443</v>
      </c>
      <c r="C715" s="2">
        <v>0</v>
      </c>
      <c r="E715" s="2">
        <v>0</v>
      </c>
      <c r="G715" s="2">
        <v>0</v>
      </c>
      <c r="I715" s="2">
        <v>0</v>
      </c>
      <c r="K715" s="2">
        <v>0</v>
      </c>
      <c r="L715" s="9"/>
      <c r="M715" s="2">
        <v>0</v>
      </c>
      <c r="N715" s="9"/>
      <c r="O715" s="2">
        <v>0</v>
      </c>
      <c r="P715" s="9"/>
      <c r="Q715" s="2">
        <f t="shared" si="27"/>
        <v>0</v>
      </c>
      <c r="T715" s="11"/>
    </row>
    <row r="716" spans="1:21" ht="11.85" hidden="1" customHeight="1" x14ac:dyDescent="0.2">
      <c r="A716" s="3" t="s">
        <v>444</v>
      </c>
      <c r="C716" s="2">
        <v>0</v>
      </c>
      <c r="E716" s="2">
        <v>0</v>
      </c>
      <c r="G716" s="2">
        <v>0</v>
      </c>
      <c r="I716" s="2">
        <v>0</v>
      </c>
      <c r="K716" s="2">
        <v>0</v>
      </c>
      <c r="L716" s="9"/>
      <c r="M716" s="2">
        <v>0</v>
      </c>
      <c r="N716" s="9"/>
      <c r="O716" s="2">
        <v>0</v>
      </c>
      <c r="P716" s="9"/>
      <c r="Q716" s="2">
        <f t="shared" si="27"/>
        <v>0</v>
      </c>
      <c r="T716" s="11"/>
    </row>
    <row r="717" spans="1:21" ht="11.85" hidden="1" customHeight="1" x14ac:dyDescent="0.2">
      <c r="A717" s="3" t="s">
        <v>445</v>
      </c>
      <c r="C717" s="2">
        <v>0</v>
      </c>
      <c r="E717" s="2">
        <v>0</v>
      </c>
      <c r="G717" s="2">
        <v>0</v>
      </c>
      <c r="I717" s="2">
        <v>0</v>
      </c>
      <c r="K717" s="2">
        <v>0</v>
      </c>
      <c r="L717" s="9"/>
      <c r="M717" s="2">
        <v>0</v>
      </c>
      <c r="N717" s="9"/>
      <c r="O717" s="2">
        <v>0</v>
      </c>
      <c r="P717" s="9"/>
      <c r="Q717" s="2">
        <f t="shared" si="27"/>
        <v>0</v>
      </c>
      <c r="T717" s="11"/>
    </row>
    <row r="718" spans="1:21" ht="11.85" hidden="1" customHeight="1" x14ac:dyDescent="0.2">
      <c r="A718" s="3" t="s">
        <v>446</v>
      </c>
      <c r="C718" s="2">
        <v>0</v>
      </c>
      <c r="E718" s="2">
        <v>0</v>
      </c>
      <c r="G718" s="2">
        <v>0</v>
      </c>
      <c r="I718" s="2">
        <v>0</v>
      </c>
      <c r="K718" s="2">
        <v>0</v>
      </c>
      <c r="L718" s="9"/>
      <c r="M718" s="2">
        <v>0</v>
      </c>
      <c r="N718" s="9"/>
      <c r="O718" s="2">
        <v>0</v>
      </c>
      <c r="P718" s="9"/>
      <c r="Q718" s="2">
        <f t="shared" si="27"/>
        <v>0</v>
      </c>
      <c r="T718" s="11"/>
    </row>
    <row r="719" spans="1:21" ht="11.85" customHeight="1" x14ac:dyDescent="0.2">
      <c r="A719" s="3" t="s">
        <v>447</v>
      </c>
      <c r="C719" s="2">
        <v>12109.32</v>
      </c>
      <c r="E719" s="2">
        <v>6581.89</v>
      </c>
      <c r="G719" s="2">
        <v>20637.830000000002</v>
      </c>
      <c r="I719" s="2">
        <v>20000</v>
      </c>
      <c r="K719" s="2">
        <f>20000+13400</f>
        <v>33400</v>
      </c>
      <c r="L719" s="9"/>
      <c r="M719" s="2">
        <v>20000</v>
      </c>
      <c r="N719" s="9"/>
      <c r="O719" s="2">
        <v>0</v>
      </c>
      <c r="P719" s="9"/>
      <c r="Q719" s="2">
        <f t="shared" si="27"/>
        <v>20000</v>
      </c>
      <c r="T719" s="11"/>
    </row>
    <row r="720" spans="1:21" ht="11.85" customHeight="1" x14ac:dyDescent="0.2">
      <c r="A720" s="3" t="s">
        <v>448</v>
      </c>
      <c r="C720" s="2">
        <v>557.79999999999995</v>
      </c>
      <c r="E720" s="2">
        <v>683.39</v>
      </c>
      <c r="G720" s="2">
        <v>1115.6400000000001</v>
      </c>
      <c r="I720" s="2">
        <v>550</v>
      </c>
      <c r="K720" s="2">
        <v>550</v>
      </c>
      <c r="L720" s="9"/>
      <c r="M720" s="2">
        <v>650</v>
      </c>
      <c r="N720" s="9"/>
      <c r="O720" s="2">
        <v>0</v>
      </c>
      <c r="P720" s="9"/>
      <c r="Q720" s="2">
        <f t="shared" si="27"/>
        <v>650</v>
      </c>
      <c r="T720" s="11"/>
    </row>
    <row r="721" spans="1:20" ht="11.85" customHeight="1" x14ac:dyDescent="0.2">
      <c r="A721" s="3" t="s">
        <v>449</v>
      </c>
      <c r="C721" s="12">
        <v>0</v>
      </c>
      <c r="E721" s="12">
        <v>3452.4</v>
      </c>
      <c r="G721" s="12">
        <v>0</v>
      </c>
      <c r="I721" s="12">
        <v>0</v>
      </c>
      <c r="K721" s="12">
        <v>0</v>
      </c>
      <c r="L721" s="9"/>
      <c r="M721" s="12">
        <v>2200</v>
      </c>
      <c r="N721" s="9"/>
      <c r="O721" s="12">
        <v>0</v>
      </c>
      <c r="P721" s="9"/>
      <c r="Q721" s="12">
        <f t="shared" si="27"/>
        <v>2200</v>
      </c>
      <c r="T721" s="11"/>
    </row>
    <row r="722" spans="1:20" ht="11.85" customHeight="1" x14ac:dyDescent="0.2">
      <c r="A722" s="3" t="s">
        <v>304</v>
      </c>
      <c r="C722" s="2">
        <f>SUM(C714:C721)</f>
        <v>14426.519999999999</v>
      </c>
      <c r="E722" s="2">
        <f>SUM(E714:E721)</f>
        <v>12477.08</v>
      </c>
      <c r="G722" s="2">
        <f>SUM(G714:G721)</f>
        <v>23608.22</v>
      </c>
      <c r="I722" s="2">
        <f>SUM(I714:I721)</f>
        <v>22450</v>
      </c>
      <c r="K722" s="2">
        <f>SUM(K714:K721)</f>
        <v>35850</v>
      </c>
      <c r="L722" s="9"/>
      <c r="M722" s="2">
        <f>SUM(M714:M721)</f>
        <v>24750</v>
      </c>
      <c r="N722" s="9"/>
      <c r="O722" s="2">
        <f>SUM(O714:O721)</f>
        <v>0</v>
      </c>
      <c r="P722" s="9"/>
      <c r="Q722" s="2">
        <f>SUM(Q714:Q721)</f>
        <v>24750</v>
      </c>
      <c r="T722" s="14"/>
    </row>
    <row r="723" spans="1:20" ht="11.85" customHeight="1" x14ac:dyDescent="0.2">
      <c r="L723" s="9"/>
      <c r="N723" s="9"/>
      <c r="P723" s="9"/>
    </row>
    <row r="724" spans="1:20" ht="11.85" customHeight="1" x14ac:dyDescent="0.2">
      <c r="A724" s="10" t="s">
        <v>305</v>
      </c>
      <c r="L724" s="9"/>
      <c r="N724" s="9"/>
      <c r="P724" s="9"/>
    </row>
    <row r="725" spans="1:20" ht="11.85" customHeight="1" x14ac:dyDescent="0.2">
      <c r="A725" s="3" t="s">
        <v>450</v>
      </c>
      <c r="C725" s="2">
        <v>3650.98</v>
      </c>
      <c r="E725" s="2">
        <v>3301.5</v>
      </c>
      <c r="G725" s="2">
        <v>4189.54</v>
      </c>
      <c r="I725" s="2">
        <v>4000</v>
      </c>
      <c r="K725" s="2">
        <v>4000</v>
      </c>
      <c r="L725" s="9"/>
      <c r="M725" s="2">
        <v>4000</v>
      </c>
      <c r="N725" s="9"/>
      <c r="O725" s="2">
        <v>0</v>
      </c>
      <c r="P725" s="9"/>
      <c r="Q725" s="2">
        <f t="shared" ref="Q725:Q731" si="28">M725+O725</f>
        <v>4000</v>
      </c>
      <c r="T725" s="11"/>
    </row>
    <row r="726" spans="1:20" ht="11.85" customHeight="1" x14ac:dyDescent="0.2">
      <c r="A726" s="3" t="s">
        <v>451</v>
      </c>
      <c r="C726" s="2">
        <v>125</v>
      </c>
      <c r="E726" s="2">
        <v>2042.1</v>
      </c>
      <c r="G726" s="2">
        <v>1152.69</v>
      </c>
      <c r="I726" s="2">
        <v>3000</v>
      </c>
      <c r="K726" s="2">
        <f>3000-2500</f>
        <v>500</v>
      </c>
      <c r="L726" s="9"/>
      <c r="M726" s="2">
        <v>3000</v>
      </c>
      <c r="N726" s="9"/>
      <c r="O726" s="2">
        <v>0</v>
      </c>
      <c r="P726" s="9"/>
      <c r="Q726" s="2">
        <f t="shared" si="28"/>
        <v>3000</v>
      </c>
      <c r="T726" s="11"/>
    </row>
    <row r="727" spans="1:20" ht="11.85" customHeight="1" x14ac:dyDescent="0.2">
      <c r="A727" s="3" t="s">
        <v>452</v>
      </c>
      <c r="C727" s="2">
        <v>415.56</v>
      </c>
      <c r="E727" s="2">
        <v>1328.84</v>
      </c>
      <c r="G727" s="2">
        <v>318.91000000000003</v>
      </c>
      <c r="I727" s="2">
        <v>1500</v>
      </c>
      <c r="K727" s="2">
        <f>1500-1000</f>
        <v>500</v>
      </c>
      <c r="L727" s="9"/>
      <c r="M727" s="2">
        <v>1500</v>
      </c>
      <c r="N727" s="9"/>
      <c r="O727" s="2">
        <v>0</v>
      </c>
      <c r="P727" s="9"/>
      <c r="Q727" s="2">
        <f t="shared" si="28"/>
        <v>1500</v>
      </c>
      <c r="T727" s="11"/>
    </row>
    <row r="728" spans="1:20" ht="11.85" hidden="1" customHeight="1" x14ac:dyDescent="0.2">
      <c r="A728" s="3" t="s">
        <v>453</v>
      </c>
      <c r="C728" s="2">
        <v>0</v>
      </c>
      <c r="E728" s="2">
        <v>0</v>
      </c>
      <c r="G728" s="2">
        <v>0</v>
      </c>
      <c r="I728" s="2">
        <v>0</v>
      </c>
      <c r="K728" s="2">
        <v>0</v>
      </c>
      <c r="L728" s="9"/>
      <c r="N728" s="9"/>
      <c r="O728" s="2">
        <v>0</v>
      </c>
      <c r="P728" s="9"/>
      <c r="Q728" s="2">
        <f t="shared" si="28"/>
        <v>0</v>
      </c>
      <c r="T728" s="11"/>
    </row>
    <row r="729" spans="1:20" ht="11.85" customHeight="1" x14ac:dyDescent="0.2">
      <c r="A729" s="3" t="s">
        <v>454</v>
      </c>
      <c r="C729" s="2">
        <v>2142.11</v>
      </c>
      <c r="E729" s="2">
        <v>1835.45</v>
      </c>
      <c r="G729" s="2">
        <v>408</v>
      </c>
      <c r="I729" s="2">
        <v>2200</v>
      </c>
      <c r="K729" s="2">
        <f>2200-2200</f>
        <v>0</v>
      </c>
      <c r="L729" s="9"/>
      <c r="M729" s="2">
        <v>0</v>
      </c>
      <c r="N729" s="9"/>
      <c r="O729" s="2">
        <v>0</v>
      </c>
      <c r="P729" s="9"/>
      <c r="Q729" s="2">
        <f t="shared" si="28"/>
        <v>0</v>
      </c>
      <c r="T729" s="11"/>
    </row>
    <row r="730" spans="1:20" ht="11.85" hidden="1" customHeight="1" x14ac:dyDescent="0.2">
      <c r="A730" s="3" t="s">
        <v>455</v>
      </c>
      <c r="C730" s="2">
        <v>0</v>
      </c>
      <c r="E730" s="2">
        <v>0</v>
      </c>
      <c r="G730" s="2">
        <v>0</v>
      </c>
      <c r="I730" s="2">
        <v>0</v>
      </c>
      <c r="K730" s="2">
        <v>0</v>
      </c>
      <c r="L730" s="9"/>
      <c r="N730" s="9"/>
      <c r="O730" s="2">
        <v>0</v>
      </c>
      <c r="P730" s="9"/>
      <c r="Q730" s="2">
        <f t="shared" si="28"/>
        <v>0</v>
      </c>
      <c r="T730" s="11"/>
    </row>
    <row r="731" spans="1:20" ht="11.85" customHeight="1" x14ac:dyDescent="0.2">
      <c r="A731" s="3" t="s">
        <v>456</v>
      </c>
      <c r="C731" s="12">
        <v>4298.3999999999996</v>
      </c>
      <c r="E731" s="12">
        <v>0</v>
      </c>
      <c r="G731" s="12">
        <v>4648.79</v>
      </c>
      <c r="I731" s="12">
        <v>58000</v>
      </c>
      <c r="K731" s="12">
        <f>58000-7700</f>
        <v>50300</v>
      </c>
      <c r="L731" s="9"/>
      <c r="M731" s="12">
        <v>6000</v>
      </c>
      <c r="N731" s="9"/>
      <c r="O731" s="12">
        <v>0</v>
      </c>
      <c r="P731" s="9"/>
      <c r="Q731" s="12">
        <f t="shared" si="28"/>
        <v>6000</v>
      </c>
      <c r="T731" s="11"/>
    </row>
    <row r="732" spans="1:20" ht="11.85" customHeight="1" x14ac:dyDescent="0.2">
      <c r="A732" s="3" t="s">
        <v>328</v>
      </c>
      <c r="C732" s="2">
        <f>SUM(C725:C731)</f>
        <v>10632.05</v>
      </c>
      <c r="E732" s="2">
        <f>SUM(E725:E731)</f>
        <v>8507.8900000000012</v>
      </c>
      <c r="G732" s="2">
        <f>SUM(G725:G731)</f>
        <v>10717.93</v>
      </c>
      <c r="I732" s="2">
        <f>SUM(I725:I731)</f>
        <v>68700</v>
      </c>
      <c r="K732" s="2">
        <f>SUM(K725:K731)</f>
        <v>55300</v>
      </c>
      <c r="L732" s="9"/>
      <c r="M732" s="2">
        <f>SUM(M725:M731)</f>
        <v>14500</v>
      </c>
      <c r="N732" s="9"/>
      <c r="O732" s="2">
        <f>SUM(O725:O731)</f>
        <v>0</v>
      </c>
      <c r="P732" s="9"/>
      <c r="Q732" s="2">
        <f>SUM(Q725:Q731)</f>
        <v>14500</v>
      </c>
      <c r="T732" s="14"/>
    </row>
    <row r="733" spans="1:20" ht="11.85" customHeight="1" x14ac:dyDescent="0.2">
      <c r="L733" s="9"/>
      <c r="N733" s="9"/>
      <c r="P733" s="9"/>
    </row>
    <row r="734" spans="1:20" ht="11.85" hidden="1" customHeight="1" x14ac:dyDescent="0.2">
      <c r="A734" s="3" t="s">
        <v>457</v>
      </c>
      <c r="C734" s="2">
        <v>0</v>
      </c>
      <c r="E734" s="2">
        <v>0</v>
      </c>
      <c r="G734" s="2">
        <v>0</v>
      </c>
      <c r="I734" s="2">
        <v>0</v>
      </c>
      <c r="K734" s="2">
        <v>0</v>
      </c>
      <c r="L734" s="9"/>
      <c r="M734" s="2">
        <v>0</v>
      </c>
      <c r="N734" s="9"/>
      <c r="O734" s="2">
        <v>0</v>
      </c>
      <c r="P734" s="9"/>
      <c r="Q734" s="2">
        <f>M734+O734</f>
        <v>0</v>
      </c>
      <c r="T734" s="11"/>
    </row>
    <row r="735" spans="1:20" ht="11.85" hidden="1" customHeight="1" x14ac:dyDescent="0.2">
      <c r="A735" s="3" t="s">
        <v>458</v>
      </c>
      <c r="C735" s="12">
        <v>0</v>
      </c>
      <c r="E735" s="12">
        <v>0</v>
      </c>
      <c r="G735" s="12">
        <v>0</v>
      </c>
      <c r="I735" s="12">
        <v>0</v>
      </c>
      <c r="K735" s="12">
        <v>0</v>
      </c>
      <c r="L735" s="9"/>
      <c r="M735" s="12">
        <v>0</v>
      </c>
      <c r="N735" s="9"/>
      <c r="O735" s="12">
        <v>0</v>
      </c>
      <c r="P735" s="9"/>
      <c r="Q735" s="12">
        <f>M735+O735</f>
        <v>0</v>
      </c>
      <c r="T735" s="11"/>
    </row>
    <row r="736" spans="1:20" ht="11.85" hidden="1" customHeight="1" x14ac:dyDescent="0.2">
      <c r="A736" s="3" t="s">
        <v>331</v>
      </c>
      <c r="C736" s="2">
        <f>SUM(C734:C735)</f>
        <v>0</v>
      </c>
      <c r="E736" s="2">
        <f>SUM(E734:E735)</f>
        <v>0</v>
      </c>
      <c r="G736" s="2">
        <f>SUM(G734:G735)</f>
        <v>0</v>
      </c>
      <c r="I736" s="2">
        <f>SUM(I734:I735)</f>
        <v>0</v>
      </c>
      <c r="K736" s="2">
        <f>SUM(K734:K735)</f>
        <v>0</v>
      </c>
      <c r="L736" s="9"/>
      <c r="M736" s="2">
        <f>SUM(M734:M735)</f>
        <v>0</v>
      </c>
      <c r="N736" s="9"/>
      <c r="O736" s="2">
        <f>SUM(O734:O735)</f>
        <v>0</v>
      </c>
      <c r="P736" s="9"/>
      <c r="Q736" s="2">
        <f>SUM(Q734:Q735)</f>
        <v>0</v>
      </c>
    </row>
    <row r="737" spans="1:20" ht="11.85" hidden="1" customHeight="1" x14ac:dyDescent="0.2">
      <c r="L737" s="9"/>
      <c r="N737" s="9"/>
      <c r="P737" s="9"/>
      <c r="R737" s="29"/>
      <c r="S737" s="30"/>
    </row>
    <row r="738" spans="1:20" ht="11.85" customHeight="1" x14ac:dyDescent="0.2">
      <c r="L738" s="9"/>
      <c r="N738" s="9"/>
      <c r="P738" s="9"/>
    </row>
    <row r="739" spans="1:20" ht="11.85" customHeight="1" x14ac:dyDescent="0.2">
      <c r="A739" s="3" t="s">
        <v>459</v>
      </c>
      <c r="C739" s="2">
        <f>C711+C722+C732+C736</f>
        <v>28489.279999999999</v>
      </c>
      <c r="E739" s="2">
        <f>E711+E722+E732+E736</f>
        <v>24350.61</v>
      </c>
      <c r="G739" s="2">
        <f>G711+G722+G732+G736</f>
        <v>38036.350000000006</v>
      </c>
      <c r="I739" s="2">
        <f>I711+I722+I732+I736</f>
        <v>95816</v>
      </c>
      <c r="K739" s="2">
        <f>K711+K722+K732</f>
        <v>95816</v>
      </c>
      <c r="L739" s="9"/>
      <c r="M739" s="2">
        <f>M711+M722+M732</f>
        <v>42622</v>
      </c>
      <c r="N739" s="9"/>
      <c r="O739" s="2">
        <f>O711+O722+O732</f>
        <v>0</v>
      </c>
      <c r="P739" s="9"/>
      <c r="Q739" s="2">
        <f>Q711+Q722+Q732</f>
        <v>42622</v>
      </c>
      <c r="T739" s="11"/>
    </row>
    <row r="740" spans="1:20" ht="11.85" customHeight="1" x14ac:dyDescent="0.2">
      <c r="L740" s="9"/>
      <c r="N740" s="9"/>
      <c r="P740" s="9"/>
    </row>
    <row r="741" spans="1:20" ht="11.85" customHeight="1" x14ac:dyDescent="0.2">
      <c r="L741" s="9"/>
      <c r="N741" s="9"/>
      <c r="P741" s="9"/>
    </row>
    <row r="742" spans="1:20" ht="11.85" customHeight="1" x14ac:dyDescent="0.2">
      <c r="L742" s="9"/>
      <c r="N742" s="9"/>
      <c r="P742" s="9"/>
    </row>
    <row r="743" spans="1:20" ht="11.85" customHeight="1" x14ac:dyDescent="0.2">
      <c r="L743" s="9"/>
      <c r="N743" s="9"/>
      <c r="P743" s="9"/>
    </row>
    <row r="744" spans="1:20" ht="11.85" customHeight="1" x14ac:dyDescent="0.2"/>
    <row r="745" spans="1:20" ht="11.85" customHeight="1" x14ac:dyDescent="0.2"/>
    <row r="746" spans="1:20" ht="11.85" customHeight="1" x14ac:dyDescent="0.2"/>
    <row r="747" spans="1:20" ht="11.85" customHeight="1" x14ac:dyDescent="0.2"/>
    <row r="748" spans="1:20" ht="11.85" customHeight="1" x14ac:dyDescent="0.2"/>
    <row r="749" spans="1:20" ht="11.85" customHeight="1" x14ac:dyDescent="0.2"/>
    <row r="750" spans="1:20" ht="11.85" customHeight="1" x14ac:dyDescent="0.2"/>
    <row r="751" spans="1:20" ht="11.85" customHeight="1" x14ac:dyDescent="0.2"/>
    <row r="752" spans="1:20" ht="11.85" customHeight="1" x14ac:dyDescent="0.2"/>
    <row r="753" spans="1:17" ht="11.85" customHeight="1" x14ac:dyDescent="0.2"/>
    <row r="754" spans="1:17" ht="11.85" customHeight="1" x14ac:dyDescent="0.2"/>
    <row r="755" spans="1:17" ht="11.85" customHeight="1" x14ac:dyDescent="0.2"/>
    <row r="756" spans="1:17" ht="11.85" customHeight="1" x14ac:dyDescent="0.2"/>
    <row r="757" spans="1:17" ht="11.85" customHeight="1" x14ac:dyDescent="0.2"/>
    <row r="758" spans="1:17" ht="11.85" customHeight="1" x14ac:dyDescent="0.2"/>
    <row r="759" spans="1:17" ht="11.85" customHeight="1" x14ac:dyDescent="0.2"/>
    <row r="760" spans="1:17" ht="11.85" customHeight="1" x14ac:dyDescent="0.2"/>
    <row r="761" spans="1:17" ht="11.85" customHeight="1" x14ac:dyDescent="0.2"/>
    <row r="762" spans="1:17" ht="11.85" customHeight="1" x14ac:dyDescent="0.2">
      <c r="A762" s="1"/>
      <c r="B762" s="1"/>
      <c r="E762" s="2" t="str">
        <f>$E$1</f>
        <v>CITY OF BRADY</v>
      </c>
    </row>
    <row r="763" spans="1:17" ht="11.85" customHeight="1" x14ac:dyDescent="0.2">
      <c r="E763" s="2" t="str">
        <f>$E$2</f>
        <v>BUDGET REPORT</v>
      </c>
    </row>
    <row r="764" spans="1:17" ht="11.85" customHeight="1" x14ac:dyDescent="0.2">
      <c r="E764" s="2" t="str">
        <f>$E$3</f>
        <v>FISCAL YEAR 2024 - 2025</v>
      </c>
    </row>
    <row r="765" spans="1:17" ht="11.85" customHeight="1" x14ac:dyDescent="0.2">
      <c r="A765" s="3" t="s">
        <v>3</v>
      </c>
    </row>
    <row r="766" spans="1:17" ht="11.85" customHeight="1" x14ac:dyDescent="0.2">
      <c r="A766" s="3" t="s">
        <v>460</v>
      </c>
    </row>
    <row r="767" spans="1:17" ht="11.85" customHeight="1" x14ac:dyDescent="0.2">
      <c r="C767" s="5"/>
      <c r="I767" s="53" t="str">
        <f>$I$6</f>
        <v>(----- 2023-2024------)</v>
      </c>
      <c r="J767" s="53"/>
      <c r="K767" s="53"/>
      <c r="L767" s="6"/>
      <c r="M767" s="54" t="str">
        <f>$M$6</f>
        <v>2024-2025</v>
      </c>
      <c r="N767" s="54"/>
      <c r="O767" s="54"/>
      <c r="P767" s="54"/>
      <c r="Q767" s="54"/>
    </row>
    <row r="768" spans="1:17" ht="11.85" customHeight="1" x14ac:dyDescent="0.2">
      <c r="C768" s="5" t="str">
        <f>$C$7</f>
        <v>2020-2021</v>
      </c>
      <c r="D768" s="5"/>
      <c r="E768" s="5" t="str">
        <f>$E$7</f>
        <v>2021-2022</v>
      </c>
      <c r="F768" s="5"/>
      <c r="G768" s="5" t="str">
        <f>$G$7</f>
        <v>2022-2023</v>
      </c>
      <c r="H768" s="5"/>
      <c r="I768" s="5" t="s">
        <v>9</v>
      </c>
      <c r="J768" s="5"/>
      <c r="K768" s="5" t="str">
        <f>+$K$7</f>
        <v>PROJECTED</v>
      </c>
      <c r="L768" s="6"/>
      <c r="M768" s="5">
        <f>$M$7</f>
        <v>0</v>
      </c>
      <c r="N768" s="6"/>
      <c r="O768" s="5" t="str">
        <f>$O$7</f>
        <v>2024-2025</v>
      </c>
      <c r="P768" s="6"/>
      <c r="Q768" s="5" t="str">
        <f>$Q$7</f>
        <v>APPROVED</v>
      </c>
    </row>
    <row r="769" spans="1:21" ht="11.85" customHeight="1" x14ac:dyDescent="0.2">
      <c r="A769" s="7" t="s">
        <v>273</v>
      </c>
      <c r="C769" s="8" t="s">
        <v>12</v>
      </c>
      <c r="D769" s="5"/>
      <c r="E769" s="8" t="s">
        <v>12</v>
      </c>
      <c r="F769" s="5"/>
      <c r="G769" s="8" t="s">
        <v>12</v>
      </c>
      <c r="H769" s="5"/>
      <c r="I769" s="8" t="s">
        <v>13</v>
      </c>
      <c r="J769" s="5"/>
      <c r="K769" s="8" t="s">
        <v>13</v>
      </c>
      <c r="L769" s="6"/>
      <c r="M769" s="8" t="str">
        <f>$M$8</f>
        <v>BASE</v>
      </c>
      <c r="N769" s="6"/>
      <c r="O769" s="8" t="str">
        <f>$O$8</f>
        <v>SUPPLEMENTAL</v>
      </c>
      <c r="P769" s="6"/>
      <c r="Q769" s="8" t="str">
        <f>$Q$8</f>
        <v>BUDGET</v>
      </c>
    </row>
    <row r="770" spans="1:21" ht="11.85" customHeight="1" x14ac:dyDescent="0.2"/>
    <row r="771" spans="1:21" ht="11.85" customHeight="1" x14ac:dyDescent="0.2">
      <c r="A771" s="10" t="s">
        <v>274</v>
      </c>
    </row>
    <row r="772" spans="1:21" ht="11.85" customHeight="1" x14ac:dyDescent="0.2">
      <c r="A772" s="3" t="s">
        <v>461</v>
      </c>
      <c r="C772" s="2">
        <v>128618.46</v>
      </c>
      <c r="E772" s="2">
        <v>135278.54999999999</v>
      </c>
      <c r="G772" s="2">
        <v>154533.48000000001</v>
      </c>
      <c r="I772" s="2">
        <v>174951</v>
      </c>
      <c r="K772" s="2">
        <v>174951</v>
      </c>
      <c r="L772" s="9"/>
      <c r="M772" s="2">
        <v>179398</v>
      </c>
      <c r="N772" s="9"/>
      <c r="O772" s="2">
        <v>0</v>
      </c>
      <c r="P772" s="9"/>
      <c r="Q772" s="2">
        <f t="shared" ref="Q772:Q779" si="29">M772+O772</f>
        <v>179398</v>
      </c>
      <c r="T772" s="11"/>
    </row>
    <row r="773" spans="1:21" ht="11.85" customHeight="1" x14ac:dyDescent="0.2">
      <c r="A773" s="3" t="s">
        <v>462</v>
      </c>
      <c r="C773" s="2">
        <v>0</v>
      </c>
      <c r="E773" s="2">
        <v>800.33</v>
      </c>
      <c r="G773" s="2">
        <v>814.5</v>
      </c>
      <c r="I773" s="2">
        <v>700</v>
      </c>
      <c r="K773" s="2">
        <v>700</v>
      </c>
      <c r="L773" s="9"/>
      <c r="M773" s="2">
        <v>700</v>
      </c>
      <c r="N773" s="9"/>
      <c r="O773" s="2">
        <v>0</v>
      </c>
      <c r="P773" s="9"/>
      <c r="Q773" s="2">
        <f t="shared" si="29"/>
        <v>700</v>
      </c>
      <c r="T773" s="11"/>
    </row>
    <row r="774" spans="1:21" ht="11.85" customHeight="1" x14ac:dyDescent="0.2">
      <c r="A774" s="3" t="s">
        <v>463</v>
      </c>
      <c r="C774" s="2">
        <v>240</v>
      </c>
      <c r="E774" s="2">
        <v>270</v>
      </c>
      <c r="G774" s="2">
        <v>210</v>
      </c>
      <c r="I774" s="2">
        <v>240</v>
      </c>
      <c r="K774" s="2">
        <v>240</v>
      </c>
      <c r="L774" s="9"/>
      <c r="M774" s="2">
        <v>240</v>
      </c>
      <c r="N774" s="9"/>
      <c r="O774" s="2">
        <v>0</v>
      </c>
      <c r="P774" s="9"/>
      <c r="Q774" s="2">
        <f t="shared" si="29"/>
        <v>240</v>
      </c>
      <c r="T774" s="11"/>
    </row>
    <row r="775" spans="1:21" ht="11.85" customHeight="1" x14ac:dyDescent="0.2">
      <c r="A775" s="3" t="s">
        <v>464</v>
      </c>
      <c r="C775" s="2">
        <v>35081.449999999997</v>
      </c>
      <c r="E775" s="2">
        <v>43177.919999999998</v>
      </c>
      <c r="G775" s="2">
        <v>39185.82</v>
      </c>
      <c r="I775" s="2">
        <v>45840</v>
      </c>
      <c r="K775" s="2">
        <f>43340-6327</f>
        <v>37013</v>
      </c>
      <c r="L775" s="9"/>
      <c r="M775" s="2">
        <v>40566</v>
      </c>
      <c r="N775" s="9"/>
      <c r="O775" s="2">
        <v>0</v>
      </c>
      <c r="P775" s="9"/>
      <c r="Q775" s="2">
        <f t="shared" si="29"/>
        <v>40566</v>
      </c>
      <c r="T775" s="11"/>
    </row>
    <row r="776" spans="1:21" ht="11.85" customHeight="1" x14ac:dyDescent="0.2">
      <c r="A776" s="3" t="s">
        <v>465</v>
      </c>
      <c r="C776" s="2">
        <v>8948.94</v>
      </c>
      <c r="E776" s="2">
        <v>10876.82</v>
      </c>
      <c r="G776" s="2">
        <v>12440.5</v>
      </c>
      <c r="I776" s="2">
        <v>13126</v>
      </c>
      <c r="K776" s="2">
        <v>13126</v>
      </c>
      <c r="L776" s="9"/>
      <c r="M776" s="2">
        <v>13235</v>
      </c>
      <c r="N776" s="9"/>
      <c r="O776" s="2">
        <v>0</v>
      </c>
      <c r="P776" s="9"/>
      <c r="Q776" s="2">
        <f t="shared" si="29"/>
        <v>13235</v>
      </c>
      <c r="T776" s="11"/>
    </row>
    <row r="777" spans="1:21" ht="11.85" customHeight="1" x14ac:dyDescent="0.2">
      <c r="A777" s="3" t="s">
        <v>466</v>
      </c>
      <c r="C777" s="2">
        <v>3146.42</v>
      </c>
      <c r="E777" s="2">
        <v>3598.05</v>
      </c>
      <c r="G777" s="2">
        <v>4271.99</v>
      </c>
      <c r="I777" s="2">
        <v>4431</v>
      </c>
      <c r="K777" s="2">
        <v>4431</v>
      </c>
      <c r="L777" s="9"/>
      <c r="M777" s="2">
        <v>2701</v>
      </c>
      <c r="N777" s="9"/>
      <c r="O777" s="2">
        <v>0</v>
      </c>
      <c r="P777" s="9"/>
      <c r="Q777" s="2">
        <f t="shared" si="29"/>
        <v>2701</v>
      </c>
      <c r="T777" s="11"/>
    </row>
    <row r="778" spans="1:21" ht="11.85" customHeight="1" x14ac:dyDescent="0.2">
      <c r="A778" s="3" t="s">
        <v>467</v>
      </c>
      <c r="C778" s="2">
        <v>1664.96</v>
      </c>
      <c r="E778" s="2">
        <v>148.05000000000001</v>
      </c>
      <c r="G778" s="2">
        <v>66.05</v>
      </c>
      <c r="I778" s="2">
        <v>669</v>
      </c>
      <c r="K778" s="2">
        <v>669</v>
      </c>
      <c r="L778" s="9"/>
      <c r="M778" s="2">
        <v>720</v>
      </c>
      <c r="N778" s="9"/>
      <c r="O778" s="2">
        <v>0</v>
      </c>
      <c r="P778" s="9"/>
      <c r="Q778" s="2">
        <f t="shared" si="29"/>
        <v>720</v>
      </c>
      <c r="T778" s="11"/>
    </row>
    <row r="779" spans="1:21" ht="11.85" customHeight="1" x14ac:dyDescent="0.2">
      <c r="A779" s="3" t="s">
        <v>468</v>
      </c>
      <c r="C779" s="12">
        <v>9495.44</v>
      </c>
      <c r="E779" s="12">
        <v>10786.43</v>
      </c>
      <c r="G779" s="12">
        <v>11900.36</v>
      </c>
      <c r="I779" s="12">
        <v>13701</v>
      </c>
      <c r="K779" s="12">
        <v>13701</v>
      </c>
      <c r="L779" s="9"/>
      <c r="M779" s="12">
        <v>14048</v>
      </c>
      <c r="N779" s="9"/>
      <c r="O779" s="12">
        <v>0</v>
      </c>
      <c r="P779" s="9"/>
      <c r="Q779" s="12">
        <f t="shared" si="29"/>
        <v>14048</v>
      </c>
      <c r="T779" s="11"/>
    </row>
    <row r="780" spans="1:21" ht="11.85" customHeight="1" x14ac:dyDescent="0.2">
      <c r="A780" s="3" t="s">
        <v>285</v>
      </c>
      <c r="C780" s="2">
        <f>SUM(C772:C779)</f>
        <v>187195.67</v>
      </c>
      <c r="E780" s="2">
        <f>SUM(E772:E779)</f>
        <v>204936.14999999997</v>
      </c>
      <c r="G780" s="2">
        <f>SUM(G772:G779)</f>
        <v>223422.7</v>
      </c>
      <c r="I780" s="2">
        <f>SUM(I772:I779)</f>
        <v>253658</v>
      </c>
      <c r="K780" s="2">
        <f>SUM(K772:K779)</f>
        <v>244831</v>
      </c>
      <c r="L780" s="9"/>
      <c r="M780" s="2">
        <f>SUM(M772:M779)</f>
        <v>251608</v>
      </c>
      <c r="N780" s="9"/>
      <c r="O780" s="2">
        <f>SUM(O772:O779)</f>
        <v>0</v>
      </c>
      <c r="P780" s="9"/>
      <c r="Q780" s="2">
        <f>SUM(Q772:Q779)</f>
        <v>251608</v>
      </c>
      <c r="R780" s="9"/>
      <c r="U780" s="9"/>
    </row>
    <row r="781" spans="1:21" ht="11.85" customHeight="1" x14ac:dyDescent="0.2">
      <c r="L781" s="9"/>
      <c r="N781" s="9"/>
      <c r="P781" s="9"/>
    </row>
    <row r="782" spans="1:21" ht="11.85" customHeight="1" x14ac:dyDescent="0.2">
      <c r="A782" s="10" t="s">
        <v>286</v>
      </c>
      <c r="L782" s="9"/>
      <c r="N782" s="9"/>
      <c r="P782" s="9"/>
    </row>
    <row r="783" spans="1:21" ht="11.85" customHeight="1" x14ac:dyDescent="0.2">
      <c r="A783" s="3" t="s">
        <v>469</v>
      </c>
      <c r="C783" s="2">
        <v>0</v>
      </c>
      <c r="E783" s="2">
        <v>0</v>
      </c>
      <c r="G783" s="2">
        <v>0</v>
      </c>
      <c r="I783" s="2">
        <v>0</v>
      </c>
      <c r="K783" s="2">
        <v>0</v>
      </c>
      <c r="L783" s="9"/>
      <c r="M783" s="2">
        <v>0</v>
      </c>
      <c r="N783" s="9"/>
      <c r="O783" s="2">
        <v>0</v>
      </c>
      <c r="P783" s="9"/>
      <c r="Q783" s="2">
        <f t="shared" ref="Q783:Q796" si="30">M783+O783</f>
        <v>0</v>
      </c>
      <c r="T783" s="11"/>
    </row>
    <row r="784" spans="1:21" ht="11.85" customHeight="1" x14ac:dyDescent="0.2">
      <c r="A784" s="3" t="s">
        <v>470</v>
      </c>
      <c r="C784" s="2">
        <v>98326.42</v>
      </c>
      <c r="E784" s="2">
        <v>180460.17</v>
      </c>
      <c r="G784" s="2">
        <v>124569.77</v>
      </c>
      <c r="I784" s="2">
        <v>150000</v>
      </c>
      <c r="K784" s="2">
        <v>150000</v>
      </c>
      <c r="L784" s="9"/>
      <c r="M784" s="2">
        <v>10000</v>
      </c>
      <c r="N784" s="9"/>
      <c r="O784" s="2">
        <v>0</v>
      </c>
      <c r="P784" s="9"/>
      <c r="Q784" s="2">
        <f t="shared" si="30"/>
        <v>10000</v>
      </c>
      <c r="T784" s="11"/>
    </row>
    <row r="785" spans="1:21" ht="11.85" customHeight="1" x14ac:dyDescent="0.2">
      <c r="A785" s="3" t="s">
        <v>471</v>
      </c>
      <c r="C785" s="2">
        <v>0</v>
      </c>
      <c r="E785" s="2">
        <v>0</v>
      </c>
      <c r="G785" s="2">
        <v>0</v>
      </c>
      <c r="I785" s="2">
        <v>0</v>
      </c>
      <c r="K785" s="2">
        <v>0</v>
      </c>
      <c r="L785" s="9"/>
      <c r="M785" s="2">
        <v>0</v>
      </c>
      <c r="N785" s="9"/>
      <c r="O785" s="2">
        <v>0</v>
      </c>
      <c r="P785" s="9"/>
      <c r="Q785" s="2">
        <f t="shared" si="30"/>
        <v>0</v>
      </c>
      <c r="T785" s="11"/>
    </row>
    <row r="786" spans="1:21" ht="11.85" customHeight="1" x14ac:dyDescent="0.2">
      <c r="A786" s="3" t="s">
        <v>472</v>
      </c>
      <c r="C786" s="2">
        <v>0</v>
      </c>
      <c r="E786" s="2">
        <v>0</v>
      </c>
      <c r="G786" s="2">
        <v>0</v>
      </c>
      <c r="I786" s="2">
        <v>0</v>
      </c>
      <c r="K786" s="2">
        <v>0</v>
      </c>
      <c r="L786" s="9"/>
      <c r="M786" s="2">
        <v>0</v>
      </c>
      <c r="N786" s="9"/>
      <c r="O786" s="2">
        <v>0</v>
      </c>
      <c r="P786" s="9"/>
      <c r="Q786" s="2">
        <f t="shared" si="30"/>
        <v>0</v>
      </c>
      <c r="T786" s="11"/>
    </row>
    <row r="787" spans="1:21" ht="11.85" customHeight="1" x14ac:dyDescent="0.2">
      <c r="A787" s="3" t="s">
        <v>473</v>
      </c>
      <c r="C787" s="2">
        <v>2060.41</v>
      </c>
      <c r="E787" s="2">
        <v>2281</v>
      </c>
      <c r="G787" s="2">
        <v>2605.71</v>
      </c>
      <c r="I787" s="2">
        <v>3000</v>
      </c>
      <c r="K787" s="2">
        <v>3000</v>
      </c>
      <c r="L787" s="9"/>
      <c r="M787" s="2">
        <v>3100</v>
      </c>
      <c r="N787" s="9"/>
      <c r="O787" s="2">
        <v>0</v>
      </c>
      <c r="P787" s="9"/>
      <c r="Q787" s="2">
        <f t="shared" si="30"/>
        <v>3100</v>
      </c>
      <c r="R787" s="28"/>
      <c r="T787" s="11"/>
    </row>
    <row r="788" spans="1:21" ht="11.85" customHeight="1" x14ac:dyDescent="0.2">
      <c r="A788" s="3" t="s">
        <v>474</v>
      </c>
      <c r="C788" s="2">
        <v>0</v>
      </c>
      <c r="E788" s="2">
        <v>0</v>
      </c>
      <c r="G788" s="2">
        <v>0</v>
      </c>
      <c r="I788" s="2">
        <v>200</v>
      </c>
      <c r="K788" s="2">
        <v>200</v>
      </c>
      <c r="L788" s="9"/>
      <c r="M788" s="2">
        <v>200</v>
      </c>
      <c r="N788" s="9"/>
      <c r="O788" s="2">
        <v>0</v>
      </c>
      <c r="P788" s="9"/>
      <c r="Q788" s="2">
        <f t="shared" si="30"/>
        <v>200</v>
      </c>
      <c r="T788" s="11"/>
    </row>
    <row r="789" spans="1:21" ht="11.85" hidden="1" customHeight="1" x14ac:dyDescent="0.2">
      <c r="A789" s="3" t="s">
        <v>475</v>
      </c>
      <c r="C789" s="2">
        <v>0</v>
      </c>
      <c r="E789" s="2">
        <v>0</v>
      </c>
      <c r="G789" s="2">
        <v>0</v>
      </c>
      <c r="I789" s="2">
        <v>0</v>
      </c>
      <c r="K789" s="2">
        <v>0</v>
      </c>
      <c r="L789" s="9"/>
      <c r="M789" s="2">
        <v>0</v>
      </c>
      <c r="N789" s="9"/>
      <c r="O789" s="2">
        <v>0</v>
      </c>
      <c r="P789" s="9"/>
      <c r="Q789" s="2">
        <f t="shared" si="30"/>
        <v>0</v>
      </c>
      <c r="T789" s="11"/>
    </row>
    <row r="790" spans="1:21" ht="11.85" customHeight="1" x14ac:dyDescent="0.2">
      <c r="A790" s="3" t="s">
        <v>476</v>
      </c>
      <c r="C790" s="2">
        <v>11045.65</v>
      </c>
      <c r="E790" s="2">
        <v>14038.15</v>
      </c>
      <c r="G790" s="2">
        <v>19414.45</v>
      </c>
      <c r="I790" s="2">
        <v>20000</v>
      </c>
      <c r="K790" s="2">
        <v>20000</v>
      </c>
      <c r="L790" s="9"/>
      <c r="M790" s="2">
        <v>20000</v>
      </c>
      <c r="N790" s="9"/>
      <c r="O790" s="2">
        <v>0</v>
      </c>
      <c r="P790" s="9"/>
      <c r="Q790" s="2">
        <f t="shared" si="30"/>
        <v>20000</v>
      </c>
      <c r="T790" s="11"/>
    </row>
    <row r="791" spans="1:21" ht="11.85" customHeight="1" x14ac:dyDescent="0.2">
      <c r="A791" s="3" t="s">
        <v>477</v>
      </c>
      <c r="C791" s="2">
        <v>2000</v>
      </c>
      <c r="E791" s="2">
        <v>0</v>
      </c>
      <c r="G791" s="2">
        <v>0</v>
      </c>
      <c r="I791" s="2">
        <v>2000</v>
      </c>
      <c r="K791" s="2">
        <f>2000-2000</f>
        <v>0</v>
      </c>
      <c r="L791" s="9"/>
      <c r="M791" s="2">
        <v>0</v>
      </c>
      <c r="N791" s="9"/>
      <c r="O791" s="2">
        <v>0</v>
      </c>
      <c r="P791" s="9"/>
      <c r="Q791" s="2">
        <f t="shared" si="30"/>
        <v>0</v>
      </c>
      <c r="T791" s="11"/>
    </row>
    <row r="792" spans="1:21" ht="11.85" customHeight="1" x14ac:dyDescent="0.2">
      <c r="A792" s="3" t="s">
        <v>478</v>
      </c>
      <c r="C792" s="2">
        <v>439.5</v>
      </c>
      <c r="E792" s="2">
        <v>599.4</v>
      </c>
      <c r="G792" s="2">
        <v>550.26</v>
      </c>
      <c r="I792" s="2">
        <v>600</v>
      </c>
      <c r="K792" s="2">
        <v>600</v>
      </c>
      <c r="L792" s="9"/>
      <c r="M792" s="2">
        <v>600</v>
      </c>
      <c r="N792" s="9"/>
      <c r="O792" s="2">
        <v>0</v>
      </c>
      <c r="P792" s="9"/>
      <c r="Q792" s="2">
        <f t="shared" si="30"/>
        <v>600</v>
      </c>
      <c r="T792" s="11"/>
    </row>
    <row r="793" spans="1:21" ht="11.85" customHeight="1" x14ac:dyDescent="0.2">
      <c r="A793" s="3" t="s">
        <v>479</v>
      </c>
      <c r="C793" s="2">
        <v>0</v>
      </c>
      <c r="E793" s="2">
        <v>0</v>
      </c>
      <c r="G793" s="2">
        <v>0</v>
      </c>
      <c r="I793" s="2">
        <v>0</v>
      </c>
      <c r="K793" s="2">
        <v>0</v>
      </c>
      <c r="L793" s="9"/>
      <c r="M793" s="2">
        <v>0</v>
      </c>
      <c r="N793" s="9"/>
      <c r="O793" s="2">
        <v>0</v>
      </c>
      <c r="P793" s="9"/>
      <c r="Q793" s="2">
        <f t="shared" si="30"/>
        <v>0</v>
      </c>
      <c r="T793" s="11"/>
    </row>
    <row r="794" spans="1:21" ht="11.85" customHeight="1" x14ac:dyDescent="0.2">
      <c r="A794" s="3" t="s">
        <v>480</v>
      </c>
      <c r="C794" s="2">
        <v>1376.6</v>
      </c>
      <c r="E794" s="2">
        <v>1734.6</v>
      </c>
      <c r="G794" s="2">
        <v>1505.56</v>
      </c>
      <c r="I794" s="2">
        <v>2100</v>
      </c>
      <c r="K794" s="2">
        <v>2100</v>
      </c>
      <c r="L794" s="9"/>
      <c r="M794" s="2">
        <v>2100</v>
      </c>
      <c r="N794" s="9"/>
      <c r="O794" s="2">
        <v>0</v>
      </c>
      <c r="P794" s="9"/>
      <c r="Q794" s="2">
        <f t="shared" si="30"/>
        <v>2100</v>
      </c>
      <c r="T794" s="11"/>
    </row>
    <row r="795" spans="1:21" ht="11.85" customHeight="1" x14ac:dyDescent="0.2">
      <c r="A795" s="3" t="s">
        <v>481</v>
      </c>
      <c r="C795" s="2">
        <v>334.49</v>
      </c>
      <c r="E795" s="2">
        <v>2186.7199999999998</v>
      </c>
      <c r="G795" s="2">
        <v>125</v>
      </c>
      <c r="I795" s="2">
        <v>0</v>
      </c>
      <c r="K795" s="2">
        <v>0</v>
      </c>
      <c r="L795" s="9"/>
      <c r="M795" s="2">
        <v>0</v>
      </c>
      <c r="N795" s="9"/>
      <c r="O795" s="2">
        <v>0</v>
      </c>
      <c r="P795" s="9"/>
      <c r="Q795" s="2">
        <f t="shared" si="30"/>
        <v>0</v>
      </c>
      <c r="T795" s="11"/>
    </row>
    <row r="796" spans="1:21" ht="11.85" customHeight="1" x14ac:dyDescent="0.2">
      <c r="A796" s="3" t="s">
        <v>482</v>
      </c>
      <c r="C796" s="12">
        <v>0</v>
      </c>
      <c r="E796" s="12">
        <v>0</v>
      </c>
      <c r="G796" s="12">
        <v>0</v>
      </c>
      <c r="I796" s="12">
        <v>200</v>
      </c>
      <c r="K796" s="12">
        <v>200</v>
      </c>
      <c r="L796" s="9"/>
      <c r="M796" s="12">
        <v>200</v>
      </c>
      <c r="N796" s="9"/>
      <c r="O796" s="12">
        <v>0</v>
      </c>
      <c r="P796" s="9"/>
      <c r="Q796" s="12">
        <f t="shared" si="30"/>
        <v>200</v>
      </c>
      <c r="T796" s="11"/>
    </row>
    <row r="797" spans="1:21" ht="11.85" customHeight="1" x14ac:dyDescent="0.2">
      <c r="A797" s="3" t="s">
        <v>304</v>
      </c>
      <c r="C797" s="2">
        <f>SUM(C783:C796)</f>
        <v>115583.07</v>
      </c>
      <c r="E797" s="2">
        <f>SUM(E783:E796)</f>
        <v>201300.04</v>
      </c>
      <c r="G797" s="2">
        <f>SUM(G783:G796)</f>
        <v>148770.75000000003</v>
      </c>
      <c r="I797" s="2">
        <f>SUM(I783:I796)</f>
        <v>178100</v>
      </c>
      <c r="K797" s="2">
        <f>SUM(K783:K796)</f>
        <v>176100</v>
      </c>
      <c r="L797" s="9"/>
      <c r="M797" s="2">
        <f>SUM(M783:M796)</f>
        <v>36200</v>
      </c>
      <c r="N797" s="9"/>
      <c r="O797" s="2">
        <f>SUM(O783:O796)</f>
        <v>0</v>
      </c>
      <c r="P797" s="9"/>
      <c r="Q797" s="2">
        <f>SUM(Q783:Q796)</f>
        <v>36200</v>
      </c>
      <c r="T797" s="14"/>
      <c r="U797" s="9"/>
    </row>
    <row r="798" spans="1:21" ht="11.85" customHeight="1" x14ac:dyDescent="0.2"/>
    <row r="799" spans="1:21" ht="11.85" customHeight="1" x14ac:dyDescent="0.2">
      <c r="A799" s="10" t="s">
        <v>305</v>
      </c>
    </row>
    <row r="800" spans="1:21" ht="11.85" customHeight="1" x14ac:dyDescent="0.2">
      <c r="A800" s="3" t="s">
        <v>483</v>
      </c>
      <c r="C800" s="2">
        <v>798.2</v>
      </c>
      <c r="E800" s="2">
        <v>1069.1099999999999</v>
      </c>
      <c r="G800" s="2">
        <v>1198.46</v>
      </c>
      <c r="I800" s="2">
        <v>1100</v>
      </c>
      <c r="K800" s="2">
        <v>1100</v>
      </c>
      <c r="L800" s="9"/>
      <c r="M800" s="2">
        <v>1100</v>
      </c>
      <c r="N800" s="9"/>
      <c r="O800" s="2">
        <v>0</v>
      </c>
      <c r="P800" s="9"/>
      <c r="Q800" s="2">
        <f t="shared" ref="Q800:Q821" si="31">M800+O800</f>
        <v>1100</v>
      </c>
      <c r="T800" s="11"/>
    </row>
    <row r="801" spans="1:20" ht="11.85" customHeight="1" x14ac:dyDescent="0.2">
      <c r="A801" s="3" t="s">
        <v>484</v>
      </c>
      <c r="C801" s="2">
        <v>0</v>
      </c>
      <c r="E801" s="2">
        <v>0</v>
      </c>
      <c r="G801" s="2">
        <v>0</v>
      </c>
      <c r="I801" s="2">
        <v>0</v>
      </c>
      <c r="K801" s="2">
        <v>0</v>
      </c>
      <c r="L801" s="9"/>
      <c r="M801" s="2">
        <v>0</v>
      </c>
      <c r="N801" s="9"/>
      <c r="O801" s="2">
        <v>0</v>
      </c>
      <c r="P801" s="9"/>
      <c r="Q801" s="2">
        <f t="shared" si="31"/>
        <v>0</v>
      </c>
      <c r="T801" s="11"/>
    </row>
    <row r="802" spans="1:20" ht="11.85" customHeight="1" x14ac:dyDescent="0.2">
      <c r="A802" s="3" t="s">
        <v>485</v>
      </c>
      <c r="C802" s="2">
        <v>2498.23</v>
      </c>
      <c r="E802" s="2">
        <v>1859.97</v>
      </c>
      <c r="G802" s="2">
        <v>1944.76</v>
      </c>
      <c r="I802" s="2">
        <v>4300</v>
      </c>
      <c r="K802" s="2">
        <v>4300</v>
      </c>
      <c r="L802" s="9"/>
      <c r="M802" s="2">
        <v>4000</v>
      </c>
      <c r="N802" s="9"/>
      <c r="O802" s="2">
        <v>0</v>
      </c>
      <c r="P802" s="9"/>
      <c r="Q802" s="2">
        <f t="shared" si="31"/>
        <v>4000</v>
      </c>
      <c r="T802" s="11"/>
    </row>
    <row r="803" spans="1:20" ht="11.85" hidden="1" customHeight="1" x14ac:dyDescent="0.2">
      <c r="A803" s="3" t="s">
        <v>486</v>
      </c>
      <c r="C803" s="2">
        <v>0</v>
      </c>
      <c r="E803" s="2">
        <v>0</v>
      </c>
      <c r="G803" s="2">
        <v>0</v>
      </c>
      <c r="I803" s="2">
        <v>0</v>
      </c>
      <c r="K803" s="2">
        <v>0</v>
      </c>
      <c r="L803" s="9"/>
      <c r="M803" s="2">
        <v>0</v>
      </c>
      <c r="N803" s="9"/>
      <c r="O803" s="2">
        <v>0</v>
      </c>
      <c r="P803" s="9"/>
      <c r="Q803" s="2">
        <f t="shared" si="31"/>
        <v>0</v>
      </c>
      <c r="T803" s="11"/>
    </row>
    <row r="804" spans="1:20" ht="11.85" hidden="1" customHeight="1" x14ac:dyDescent="0.2">
      <c r="A804" s="3" t="s">
        <v>487</v>
      </c>
      <c r="C804" s="2">
        <v>0</v>
      </c>
      <c r="E804" s="2">
        <v>0</v>
      </c>
      <c r="G804" s="2">
        <v>0</v>
      </c>
      <c r="I804" s="2">
        <v>0</v>
      </c>
      <c r="K804" s="2">
        <v>0</v>
      </c>
      <c r="L804" s="9"/>
      <c r="M804" s="2">
        <v>0</v>
      </c>
      <c r="N804" s="9"/>
      <c r="O804" s="2">
        <v>0</v>
      </c>
      <c r="P804" s="9"/>
      <c r="Q804" s="2">
        <f t="shared" si="31"/>
        <v>0</v>
      </c>
      <c r="T804" s="11"/>
    </row>
    <row r="805" spans="1:20" ht="11.85" customHeight="1" x14ac:dyDescent="0.2">
      <c r="A805" s="3" t="s">
        <v>488</v>
      </c>
      <c r="C805" s="2">
        <v>5015.59</v>
      </c>
      <c r="E805" s="2">
        <v>6992.11</v>
      </c>
      <c r="G805" s="2">
        <v>6029.97</v>
      </c>
      <c r="I805" s="2">
        <v>6000</v>
      </c>
      <c r="K805" s="2">
        <v>6000</v>
      </c>
      <c r="L805" s="9"/>
      <c r="M805" s="2">
        <v>6000</v>
      </c>
      <c r="N805" s="9"/>
      <c r="O805" s="2">
        <v>0</v>
      </c>
      <c r="P805" s="9"/>
      <c r="Q805" s="2">
        <f t="shared" si="31"/>
        <v>6000</v>
      </c>
      <c r="T805" s="11"/>
    </row>
    <row r="806" spans="1:20" ht="11.85" customHeight="1" x14ac:dyDescent="0.2">
      <c r="A806" s="3" t="s">
        <v>489</v>
      </c>
      <c r="C806" s="2">
        <v>197.77</v>
      </c>
      <c r="E806" s="2">
        <v>1113.92</v>
      </c>
      <c r="G806" s="2">
        <v>1468.06</v>
      </c>
      <c r="I806" s="2">
        <v>2000</v>
      </c>
      <c r="K806" s="2">
        <v>2000</v>
      </c>
      <c r="L806" s="9"/>
      <c r="M806" s="2">
        <v>2000</v>
      </c>
      <c r="N806" s="9"/>
      <c r="O806" s="2">
        <v>0</v>
      </c>
      <c r="P806" s="9"/>
      <c r="Q806" s="2">
        <f t="shared" si="31"/>
        <v>2000</v>
      </c>
      <c r="T806" s="11"/>
    </row>
    <row r="807" spans="1:20" ht="11.85" customHeight="1" x14ac:dyDescent="0.2">
      <c r="A807" s="3" t="s">
        <v>490</v>
      </c>
      <c r="C807" s="2">
        <v>0</v>
      </c>
      <c r="E807" s="2">
        <v>0</v>
      </c>
      <c r="G807" s="2">
        <v>0</v>
      </c>
      <c r="I807" s="2">
        <v>200</v>
      </c>
      <c r="K807" s="2">
        <v>200</v>
      </c>
      <c r="L807" s="9"/>
      <c r="M807" s="2">
        <v>200</v>
      </c>
      <c r="N807" s="9"/>
      <c r="O807" s="2">
        <v>0</v>
      </c>
      <c r="P807" s="9"/>
      <c r="Q807" s="2">
        <f t="shared" si="31"/>
        <v>200</v>
      </c>
      <c r="T807" s="11"/>
    </row>
    <row r="808" spans="1:20" ht="11.85" customHeight="1" x14ac:dyDescent="0.2">
      <c r="A808" s="3" t="s">
        <v>491</v>
      </c>
      <c r="C808" s="2">
        <v>495.3</v>
      </c>
      <c r="E808" s="2">
        <v>310.63</v>
      </c>
      <c r="G808" s="2">
        <v>1777.79</v>
      </c>
      <c r="I808" s="2">
        <v>8000</v>
      </c>
      <c r="K808" s="2">
        <f>8000-2000</f>
        <v>6000</v>
      </c>
      <c r="L808" s="9"/>
      <c r="M808" s="2">
        <v>6000</v>
      </c>
      <c r="N808" s="9"/>
      <c r="O808" s="2">
        <v>0</v>
      </c>
      <c r="P808" s="9"/>
      <c r="Q808" s="2">
        <f t="shared" si="31"/>
        <v>6000</v>
      </c>
      <c r="T808" s="11"/>
    </row>
    <row r="809" spans="1:20" ht="11.85" customHeight="1" x14ac:dyDescent="0.2">
      <c r="A809" s="3" t="s">
        <v>492</v>
      </c>
      <c r="C809" s="2">
        <v>244.78</v>
      </c>
      <c r="E809" s="2">
        <v>266.42</v>
      </c>
      <c r="G809" s="2">
        <v>468.97</v>
      </c>
      <c r="I809" s="2">
        <v>300</v>
      </c>
      <c r="K809" s="2">
        <v>300</v>
      </c>
      <c r="L809" s="9"/>
      <c r="M809" s="2">
        <v>300</v>
      </c>
      <c r="N809" s="9"/>
      <c r="O809" s="2">
        <v>0</v>
      </c>
      <c r="P809" s="9"/>
      <c r="Q809" s="2">
        <f t="shared" si="31"/>
        <v>300</v>
      </c>
      <c r="T809" s="11"/>
    </row>
    <row r="810" spans="1:20" ht="11.85" customHeight="1" x14ac:dyDescent="0.2">
      <c r="A810" s="3" t="s">
        <v>493</v>
      </c>
      <c r="C810" s="2">
        <v>5055.22</v>
      </c>
      <c r="E810" s="2">
        <v>5234.91</v>
      </c>
      <c r="G810" s="2">
        <v>5360.85</v>
      </c>
      <c r="I810" s="2">
        <v>7000</v>
      </c>
      <c r="K810" s="2">
        <f>7000+2000</f>
        <v>9000</v>
      </c>
      <c r="L810" s="9"/>
      <c r="M810" s="2">
        <v>9000</v>
      </c>
      <c r="N810" s="9"/>
      <c r="O810" s="2">
        <v>0</v>
      </c>
      <c r="P810" s="9"/>
      <c r="Q810" s="2">
        <f t="shared" si="31"/>
        <v>9000</v>
      </c>
      <c r="T810" s="11"/>
    </row>
    <row r="811" spans="1:20" ht="11.85" customHeight="1" x14ac:dyDescent="0.2">
      <c r="A811" s="3" t="s">
        <v>494</v>
      </c>
      <c r="C811" s="2">
        <v>8072.64</v>
      </c>
      <c r="E811" s="2">
        <v>3695.66</v>
      </c>
      <c r="G811" s="2">
        <v>8100.99</v>
      </c>
      <c r="I811" s="2">
        <v>8200</v>
      </c>
      <c r="K811" s="2">
        <v>8200</v>
      </c>
      <c r="L811" s="9"/>
      <c r="M811" s="2">
        <v>8200</v>
      </c>
      <c r="N811" s="9"/>
      <c r="O811" s="2">
        <v>0</v>
      </c>
      <c r="P811" s="9"/>
      <c r="Q811" s="2">
        <f t="shared" si="31"/>
        <v>8200</v>
      </c>
      <c r="T811" s="11"/>
    </row>
    <row r="812" spans="1:20" ht="11.85" customHeight="1" x14ac:dyDescent="0.2">
      <c r="A812" s="3" t="s">
        <v>495</v>
      </c>
      <c r="C812" s="2">
        <v>6587.35</v>
      </c>
      <c r="E812" s="2">
        <v>4407.63</v>
      </c>
      <c r="G812" s="2">
        <v>10489.24</v>
      </c>
      <c r="I812" s="2">
        <v>11000</v>
      </c>
      <c r="K812" s="2">
        <v>11000</v>
      </c>
      <c r="L812" s="9"/>
      <c r="M812" s="2">
        <v>11000</v>
      </c>
      <c r="N812" s="9"/>
      <c r="O812" s="2">
        <v>0</v>
      </c>
      <c r="P812" s="9"/>
      <c r="Q812" s="2">
        <f t="shared" si="31"/>
        <v>11000</v>
      </c>
      <c r="T812" s="11"/>
    </row>
    <row r="813" spans="1:20" ht="11.85" customHeight="1" x14ac:dyDescent="0.2">
      <c r="A813" s="3" t="s">
        <v>496</v>
      </c>
      <c r="C813" s="2">
        <v>1230.3800000000001</v>
      </c>
      <c r="E813" s="2">
        <v>1252.48</v>
      </c>
      <c r="G813" s="2">
        <v>1122.3599999999999</v>
      </c>
      <c r="I813" s="2">
        <v>1500</v>
      </c>
      <c r="K813" s="2">
        <v>1500</v>
      </c>
      <c r="L813" s="9"/>
      <c r="M813" s="2">
        <v>1500</v>
      </c>
      <c r="N813" s="9"/>
      <c r="O813" s="2">
        <v>0</v>
      </c>
      <c r="P813" s="9"/>
      <c r="Q813" s="2">
        <f t="shared" si="31"/>
        <v>1500</v>
      </c>
      <c r="T813" s="11"/>
    </row>
    <row r="814" spans="1:20" ht="11.85" customHeight="1" x14ac:dyDescent="0.2">
      <c r="A814" s="3" t="s">
        <v>497</v>
      </c>
      <c r="C814" s="2">
        <v>0</v>
      </c>
      <c r="E814" s="2">
        <v>0</v>
      </c>
      <c r="G814" s="2">
        <v>0</v>
      </c>
      <c r="I814" s="2">
        <v>200</v>
      </c>
      <c r="K814" s="2">
        <v>200</v>
      </c>
      <c r="L814" s="9"/>
      <c r="M814" s="2">
        <v>200</v>
      </c>
      <c r="N814" s="9"/>
      <c r="O814" s="2">
        <v>0</v>
      </c>
      <c r="P814" s="9"/>
      <c r="Q814" s="2">
        <f t="shared" si="31"/>
        <v>200</v>
      </c>
      <c r="T814" s="11"/>
    </row>
    <row r="815" spans="1:20" ht="11.85" hidden="1" customHeight="1" x14ac:dyDescent="0.2">
      <c r="A815" s="3" t="s">
        <v>498</v>
      </c>
      <c r="C815" s="2">
        <v>0</v>
      </c>
      <c r="E815" s="2">
        <v>0</v>
      </c>
      <c r="G815" s="2">
        <v>0</v>
      </c>
      <c r="I815" s="2">
        <v>0</v>
      </c>
      <c r="K815" s="2">
        <v>0</v>
      </c>
      <c r="L815" s="9"/>
      <c r="M815" s="2">
        <v>0</v>
      </c>
      <c r="N815" s="9"/>
      <c r="O815" s="2">
        <v>0</v>
      </c>
      <c r="P815" s="9"/>
      <c r="Q815" s="2">
        <f t="shared" si="31"/>
        <v>0</v>
      </c>
      <c r="T815" s="11"/>
    </row>
    <row r="816" spans="1:20" ht="11.85" customHeight="1" x14ac:dyDescent="0.2">
      <c r="A816" s="3" t="s">
        <v>499</v>
      </c>
      <c r="C816" s="2">
        <v>7604.22</v>
      </c>
      <c r="E816" s="2">
        <v>6547.68</v>
      </c>
      <c r="G816" s="2">
        <v>6705</v>
      </c>
      <c r="I816" s="2">
        <v>7000</v>
      </c>
      <c r="K816" s="2">
        <f>7000-2000</f>
        <v>5000</v>
      </c>
      <c r="L816" s="9"/>
      <c r="M816" s="2">
        <v>5000</v>
      </c>
      <c r="N816" s="9"/>
      <c r="O816" s="2">
        <v>0</v>
      </c>
      <c r="P816" s="9"/>
      <c r="Q816" s="2">
        <f t="shared" si="31"/>
        <v>5000</v>
      </c>
      <c r="T816" s="11"/>
    </row>
    <row r="817" spans="1:21" ht="11.85" customHeight="1" x14ac:dyDescent="0.2">
      <c r="A817" s="3" t="s">
        <v>500</v>
      </c>
      <c r="C817" s="2">
        <v>0</v>
      </c>
      <c r="E817" s="2">
        <v>0</v>
      </c>
      <c r="G817" s="2">
        <v>0</v>
      </c>
      <c r="I817" s="2">
        <v>0</v>
      </c>
      <c r="K817" s="2">
        <v>2000</v>
      </c>
      <c r="L817" s="9"/>
      <c r="M817" s="2">
        <v>5000</v>
      </c>
      <c r="N817" s="9"/>
      <c r="O817" s="2">
        <v>0</v>
      </c>
      <c r="P817" s="9"/>
      <c r="Q817" s="2">
        <f t="shared" si="31"/>
        <v>5000</v>
      </c>
      <c r="T817" s="11"/>
    </row>
    <row r="818" spans="1:21" ht="11.85" customHeight="1" x14ac:dyDescent="0.2">
      <c r="A818" s="3" t="s">
        <v>501</v>
      </c>
      <c r="C818" s="2">
        <v>2000</v>
      </c>
      <c r="E818" s="2">
        <v>2000</v>
      </c>
      <c r="G818" s="2">
        <v>3950</v>
      </c>
      <c r="I818" s="2">
        <v>4000</v>
      </c>
      <c r="K818" s="2">
        <f>4000+2000</f>
        <v>6000</v>
      </c>
      <c r="L818" s="9"/>
      <c r="M818" s="2">
        <v>6000</v>
      </c>
      <c r="N818" s="9"/>
      <c r="O818" s="2">
        <v>0</v>
      </c>
      <c r="P818" s="9"/>
      <c r="Q818" s="2">
        <f t="shared" si="31"/>
        <v>6000</v>
      </c>
      <c r="T818" s="11"/>
    </row>
    <row r="819" spans="1:21" ht="11.85" customHeight="1" x14ac:dyDescent="0.2">
      <c r="A819" s="3" t="s">
        <v>502</v>
      </c>
      <c r="C819" s="2">
        <v>0</v>
      </c>
      <c r="E819" s="2">
        <v>0</v>
      </c>
      <c r="G819" s="2">
        <v>0</v>
      </c>
      <c r="I819" s="2">
        <v>0</v>
      </c>
      <c r="K819" s="2">
        <v>0</v>
      </c>
      <c r="L819" s="9"/>
      <c r="M819" s="2">
        <v>500</v>
      </c>
      <c r="N819" s="9"/>
      <c r="O819" s="2">
        <v>0</v>
      </c>
      <c r="P819" s="9"/>
      <c r="Q819" s="2">
        <f>M819+O819</f>
        <v>500</v>
      </c>
      <c r="T819" s="11"/>
    </row>
    <row r="820" spans="1:21" ht="11.85" customHeight="1" x14ac:dyDescent="0.2">
      <c r="A820" s="3" t="s">
        <v>503</v>
      </c>
      <c r="C820" s="2">
        <v>2486.29</v>
      </c>
      <c r="E820" s="2">
        <v>2061.36</v>
      </c>
      <c r="G820" s="2">
        <v>2140.84</v>
      </c>
      <c r="I820" s="2">
        <v>2500</v>
      </c>
      <c r="K820" s="2">
        <v>2500</v>
      </c>
      <c r="L820" s="9"/>
      <c r="M820" s="2">
        <v>2500</v>
      </c>
      <c r="N820" s="9"/>
      <c r="O820" s="2">
        <v>0</v>
      </c>
      <c r="P820" s="9"/>
      <c r="Q820" s="2">
        <f t="shared" si="31"/>
        <v>2500</v>
      </c>
      <c r="T820" s="11"/>
    </row>
    <row r="821" spans="1:21" ht="11.85" customHeight="1" x14ac:dyDescent="0.2">
      <c r="A821" s="3" t="s">
        <v>504</v>
      </c>
      <c r="C821" s="2">
        <v>9460.06</v>
      </c>
      <c r="E821" s="2">
        <v>10785.19</v>
      </c>
      <c r="G821" s="2">
        <v>10681.62</v>
      </c>
      <c r="I821" s="2">
        <v>11000</v>
      </c>
      <c r="K821" s="2">
        <v>11000</v>
      </c>
      <c r="L821" s="9"/>
      <c r="M821" s="2">
        <v>11000</v>
      </c>
      <c r="N821" s="9"/>
      <c r="O821" s="2">
        <v>0</v>
      </c>
      <c r="P821" s="9"/>
      <c r="Q821" s="2">
        <f t="shared" si="31"/>
        <v>11000</v>
      </c>
      <c r="T821" s="11"/>
      <c r="U821" s="9"/>
    </row>
    <row r="822" spans="1:21" ht="11.85" customHeight="1" x14ac:dyDescent="0.2">
      <c r="L822" s="9"/>
      <c r="N822" s="9"/>
      <c r="P822" s="9"/>
    </row>
    <row r="823" spans="1:21" ht="11.85" customHeight="1" x14ac:dyDescent="0.2">
      <c r="L823" s="9"/>
      <c r="N823" s="9"/>
      <c r="P823" s="9"/>
    </row>
    <row r="824" spans="1:21" ht="11.85" customHeight="1" x14ac:dyDescent="0.2">
      <c r="L824" s="9"/>
      <c r="N824" s="9"/>
      <c r="P824" s="9"/>
    </row>
    <row r="825" spans="1:21" ht="11.85" customHeight="1" x14ac:dyDescent="0.2">
      <c r="A825" s="1"/>
      <c r="B825" s="1"/>
      <c r="E825" s="2" t="str">
        <f>$E$1</f>
        <v>CITY OF BRADY</v>
      </c>
    </row>
    <row r="826" spans="1:21" ht="11.85" customHeight="1" x14ac:dyDescent="0.2">
      <c r="E826" s="2" t="str">
        <f>$E$2</f>
        <v>BUDGET REPORT</v>
      </c>
    </row>
    <row r="827" spans="1:21" ht="11.85" customHeight="1" x14ac:dyDescent="0.2">
      <c r="E827" s="2" t="str">
        <f>$E$3</f>
        <v>FISCAL YEAR 2024 - 2025</v>
      </c>
    </row>
    <row r="828" spans="1:21" ht="11.85" customHeight="1" x14ac:dyDescent="0.2">
      <c r="A828" s="3" t="s">
        <v>3</v>
      </c>
    </row>
    <row r="829" spans="1:21" ht="11.85" customHeight="1" x14ac:dyDescent="0.2">
      <c r="A829" s="3" t="s">
        <v>460</v>
      </c>
    </row>
    <row r="830" spans="1:21" ht="11.85" customHeight="1" x14ac:dyDescent="0.2">
      <c r="I830" s="53" t="str">
        <f>$I$6</f>
        <v>(----- 2023-2024------)</v>
      </c>
      <c r="J830" s="53"/>
      <c r="K830" s="53"/>
      <c r="L830" s="6"/>
      <c r="M830" s="54" t="str">
        <f>$M$6</f>
        <v>2024-2025</v>
      </c>
      <c r="N830" s="54"/>
      <c r="O830" s="54"/>
      <c r="P830" s="54"/>
      <c r="Q830" s="54"/>
    </row>
    <row r="831" spans="1:21" ht="11.85" customHeight="1" x14ac:dyDescent="0.2">
      <c r="C831" s="5" t="str">
        <f>$C$7</f>
        <v>2020-2021</v>
      </c>
      <c r="D831" s="5"/>
      <c r="E831" s="5" t="str">
        <f>$E$7</f>
        <v>2021-2022</v>
      </c>
      <c r="F831" s="5"/>
      <c r="G831" s="5" t="str">
        <f>$G$7</f>
        <v>2022-2023</v>
      </c>
      <c r="H831" s="5"/>
      <c r="I831" s="5" t="s">
        <v>9</v>
      </c>
      <c r="J831" s="5"/>
      <c r="K831" s="5" t="str">
        <f>+$K$7</f>
        <v>PROJECTED</v>
      </c>
      <c r="L831" s="6"/>
      <c r="M831" s="5">
        <f>$M$7</f>
        <v>0</v>
      </c>
      <c r="N831" s="6"/>
      <c r="O831" s="5" t="str">
        <f>$O$7</f>
        <v>2024-2025</v>
      </c>
      <c r="P831" s="6"/>
      <c r="Q831" s="5" t="str">
        <f>$Q$7</f>
        <v>APPROVED</v>
      </c>
    </row>
    <row r="832" spans="1:21" ht="11.85" customHeight="1" x14ac:dyDescent="0.2">
      <c r="A832" s="7" t="s">
        <v>273</v>
      </c>
      <c r="C832" s="8" t="s">
        <v>12</v>
      </c>
      <c r="D832" s="5"/>
      <c r="E832" s="8" t="s">
        <v>12</v>
      </c>
      <c r="F832" s="5"/>
      <c r="G832" s="8" t="s">
        <v>12</v>
      </c>
      <c r="H832" s="5"/>
      <c r="I832" s="8" t="s">
        <v>13</v>
      </c>
      <c r="J832" s="5"/>
      <c r="K832" s="8" t="s">
        <v>13</v>
      </c>
      <c r="L832" s="6"/>
      <c r="M832" s="8" t="str">
        <f>$M$8</f>
        <v>BASE</v>
      </c>
      <c r="N832" s="6"/>
      <c r="O832" s="8" t="str">
        <f>$O$8</f>
        <v>SUPPLEMENTAL</v>
      </c>
      <c r="P832" s="6"/>
      <c r="Q832" s="8" t="str">
        <f>$Q$8</f>
        <v>BUDGET</v>
      </c>
    </row>
    <row r="833" spans="1:21" ht="11.25" customHeight="1" x14ac:dyDescent="0.2">
      <c r="L833" s="9"/>
      <c r="N833" s="9"/>
      <c r="P833" s="9"/>
    </row>
    <row r="834" spans="1:21" ht="11.85" customHeight="1" x14ac:dyDescent="0.2">
      <c r="A834" s="3" t="s">
        <v>505</v>
      </c>
      <c r="C834" s="2">
        <v>2865</v>
      </c>
      <c r="E834" s="2">
        <v>870</v>
      </c>
      <c r="G834" s="2">
        <v>1545</v>
      </c>
      <c r="I834" s="2">
        <v>1500</v>
      </c>
      <c r="K834" s="2">
        <v>1500</v>
      </c>
      <c r="L834" s="9"/>
      <c r="M834" s="2">
        <v>1500</v>
      </c>
      <c r="N834" s="9"/>
      <c r="O834" s="2">
        <v>0</v>
      </c>
      <c r="P834" s="9"/>
      <c r="Q834" s="2">
        <f>M834+O834</f>
        <v>1500</v>
      </c>
      <c r="T834" s="11"/>
    </row>
    <row r="835" spans="1:21" ht="11.85" customHeight="1" x14ac:dyDescent="0.2">
      <c r="A835" s="3" t="s">
        <v>506</v>
      </c>
      <c r="C835" s="2">
        <v>590.62</v>
      </c>
      <c r="E835" s="2">
        <v>301.88</v>
      </c>
      <c r="G835" s="2">
        <v>1198.1099999999999</v>
      </c>
      <c r="I835" s="2">
        <v>0</v>
      </c>
      <c r="K835" s="2">
        <v>0</v>
      </c>
      <c r="L835" s="9"/>
      <c r="M835" s="2">
        <v>0</v>
      </c>
      <c r="N835" s="9"/>
      <c r="O835" s="2">
        <v>0</v>
      </c>
      <c r="P835" s="9"/>
      <c r="Q835" s="2">
        <f>M835+O835</f>
        <v>0</v>
      </c>
      <c r="T835" s="11"/>
    </row>
    <row r="836" spans="1:21" ht="11.85" customHeight="1" x14ac:dyDescent="0.2">
      <c r="A836" s="3" t="s">
        <v>507</v>
      </c>
      <c r="C836" s="12">
        <v>10500</v>
      </c>
      <c r="E836" s="12">
        <v>10500</v>
      </c>
      <c r="G836" s="12">
        <v>0</v>
      </c>
      <c r="I836" s="12">
        <v>0</v>
      </c>
      <c r="K836" s="12">
        <v>0</v>
      </c>
      <c r="L836" s="9"/>
      <c r="M836" s="12">
        <v>0</v>
      </c>
      <c r="N836" s="9"/>
      <c r="O836" s="12">
        <v>0</v>
      </c>
      <c r="P836" s="9"/>
      <c r="Q836" s="12">
        <f>M836+O836</f>
        <v>0</v>
      </c>
      <c r="T836" s="11"/>
      <c r="U836" s="2"/>
    </row>
    <row r="837" spans="1:21" ht="11.85" customHeight="1" x14ac:dyDescent="0.2">
      <c r="A837" s="3" t="s">
        <v>328</v>
      </c>
      <c r="C837" s="2">
        <f>SUM(C800:C821)+SUM(C834:C836)</f>
        <v>65701.649999999994</v>
      </c>
      <c r="E837" s="2">
        <f>SUM(E800:E821)+SUM(E834:E836)</f>
        <v>59268.950000000012</v>
      </c>
      <c r="G837" s="2">
        <f>SUM(G800:G821)+SUM(G834:G836)</f>
        <v>64182.02</v>
      </c>
      <c r="I837" s="2">
        <f>SUM(I800:I821)+SUM(I834:I836)</f>
        <v>75800</v>
      </c>
      <c r="K837" s="2">
        <f>SUM(K800:K821)+SUM(K834:K836)</f>
        <v>77800</v>
      </c>
      <c r="L837" s="9"/>
      <c r="M837" s="2">
        <f>SUM(M800:M821)+SUM(M834:M836)</f>
        <v>81000</v>
      </c>
      <c r="N837" s="9"/>
      <c r="O837" s="2">
        <f>SUM(O800:O821)+SUM(O834:O836)</f>
        <v>0</v>
      </c>
      <c r="P837" s="9"/>
      <c r="Q837" s="2">
        <f>SUM(Q800:Q821)+SUM(Q834:Q836)</f>
        <v>81000</v>
      </c>
      <c r="T837" s="11"/>
      <c r="U837" s="9"/>
    </row>
    <row r="838" spans="1:21" ht="11.85" customHeight="1" x14ac:dyDescent="0.2">
      <c r="L838" s="9"/>
      <c r="N838" s="9"/>
      <c r="P838" s="9"/>
    </row>
    <row r="839" spans="1:21" ht="11.85" customHeight="1" x14ac:dyDescent="0.2">
      <c r="A839" s="3" t="s">
        <v>508</v>
      </c>
      <c r="C839" s="2">
        <v>0</v>
      </c>
      <c r="E839" s="2">
        <v>0</v>
      </c>
      <c r="G839" s="2">
        <v>0</v>
      </c>
      <c r="I839" s="2">
        <v>0</v>
      </c>
      <c r="K839" s="2">
        <v>180000</v>
      </c>
      <c r="L839" s="9"/>
      <c r="M839" s="2">
        <v>0</v>
      </c>
      <c r="N839" s="9"/>
      <c r="O839" s="2">
        <v>200000</v>
      </c>
      <c r="P839" s="9"/>
      <c r="Q839" s="2">
        <f>M839+O839</f>
        <v>200000</v>
      </c>
      <c r="T839" s="11"/>
    </row>
    <row r="840" spans="1:21" ht="11.85" customHeight="1" x14ac:dyDescent="0.2">
      <c r="A840" s="3" t="s">
        <v>509</v>
      </c>
      <c r="C840" s="12">
        <v>0</v>
      </c>
      <c r="E840" s="12">
        <v>0</v>
      </c>
      <c r="G840" s="12">
        <v>35000</v>
      </c>
      <c r="I840" s="12">
        <v>0</v>
      </c>
      <c r="K840" s="12">
        <v>0</v>
      </c>
      <c r="L840" s="9"/>
      <c r="M840" s="12">
        <v>0</v>
      </c>
      <c r="N840" s="9"/>
      <c r="O840" s="12">
        <v>0</v>
      </c>
      <c r="P840" s="9"/>
      <c r="Q840" s="12">
        <f>M840+O840</f>
        <v>0</v>
      </c>
      <c r="T840" s="11"/>
    </row>
    <row r="841" spans="1:21" ht="11.85" customHeight="1" x14ac:dyDescent="0.2">
      <c r="A841" s="3" t="s">
        <v>331</v>
      </c>
      <c r="C841" s="2">
        <f>SUM(C839:C840)</f>
        <v>0</v>
      </c>
      <c r="E841" s="2">
        <f>SUM(E839:E840)</f>
        <v>0</v>
      </c>
      <c r="G841" s="2">
        <f>SUM(G839:G840)</f>
        <v>35000</v>
      </c>
      <c r="I841" s="2">
        <f>SUM(I839:I840)</f>
        <v>0</v>
      </c>
      <c r="K841" s="2">
        <f>SUM(K839:K840)</f>
        <v>180000</v>
      </c>
      <c r="L841" s="9"/>
      <c r="M841" s="2">
        <f>SUM(M839:M840)</f>
        <v>0</v>
      </c>
      <c r="N841" s="9"/>
      <c r="O841" s="2">
        <f>SUM(O839:O840)</f>
        <v>200000</v>
      </c>
      <c r="P841" s="9"/>
      <c r="Q841" s="2">
        <f>SUM(Q839:Q840)</f>
        <v>200000</v>
      </c>
    </row>
    <row r="842" spans="1:21" ht="11.85" customHeight="1" x14ac:dyDescent="0.2">
      <c r="L842" s="9"/>
      <c r="N842" s="9"/>
      <c r="P842" s="9"/>
    </row>
    <row r="843" spans="1:21" ht="11.85" customHeight="1" x14ac:dyDescent="0.2">
      <c r="A843" s="3" t="s">
        <v>510</v>
      </c>
      <c r="C843" s="2">
        <f>C780+C797+C837+C841</f>
        <v>368480.39</v>
      </c>
      <c r="E843" s="2">
        <f>E780+E797+E837+E841</f>
        <v>465505.13999999996</v>
      </c>
      <c r="G843" s="2">
        <f>G780+G797+G837+G841</f>
        <v>471375.47000000009</v>
      </c>
      <c r="I843" s="2">
        <f>I780+I797+I837+I841</f>
        <v>507558</v>
      </c>
      <c r="K843" s="2">
        <f>K780+K797+K837+K841</f>
        <v>678731</v>
      </c>
      <c r="L843" s="9"/>
      <c r="M843" s="2">
        <f>M780+M797+M837+M841</f>
        <v>368808</v>
      </c>
      <c r="N843" s="9"/>
      <c r="O843" s="2">
        <f>O780+O797+O837+O841</f>
        <v>200000</v>
      </c>
      <c r="P843" s="9"/>
      <c r="Q843" s="2">
        <f>Q780+Q797+Q837+Q841</f>
        <v>568808</v>
      </c>
      <c r="R843" s="9"/>
      <c r="T843" s="11"/>
      <c r="U843" s="9"/>
    </row>
    <row r="844" spans="1:21" ht="11.85" customHeight="1" x14ac:dyDescent="0.2"/>
    <row r="845" spans="1:21" ht="11.85" customHeight="1" x14ac:dyDescent="0.2"/>
    <row r="846" spans="1:21" ht="11.85" customHeight="1" x14ac:dyDescent="0.2"/>
    <row r="847" spans="1:21" ht="11.85" customHeight="1" x14ac:dyDescent="0.2"/>
    <row r="848" spans="1:21" ht="11.85" customHeight="1" x14ac:dyDescent="0.2"/>
    <row r="849" ht="11.85" customHeight="1" x14ac:dyDescent="0.2"/>
    <row r="850" ht="11.85" customHeight="1" x14ac:dyDescent="0.2"/>
    <row r="851" ht="11.85" customHeight="1" x14ac:dyDescent="0.2"/>
    <row r="852" ht="11.85" customHeight="1" x14ac:dyDescent="0.2"/>
    <row r="853" ht="11.85" customHeight="1" x14ac:dyDescent="0.2"/>
    <row r="854" ht="11.85" customHeight="1" x14ac:dyDescent="0.2"/>
    <row r="855" ht="11.85" customHeight="1" x14ac:dyDescent="0.2"/>
    <row r="856" ht="11.85" customHeight="1" x14ac:dyDescent="0.2"/>
    <row r="857" ht="11.85" customHeight="1" x14ac:dyDescent="0.2"/>
    <row r="858" ht="11.85" customHeight="1" x14ac:dyDescent="0.2"/>
    <row r="859" ht="11.85" customHeight="1" x14ac:dyDescent="0.2"/>
    <row r="860" ht="11.85" customHeight="1" x14ac:dyDescent="0.2"/>
    <row r="861" ht="11.85" customHeight="1" x14ac:dyDescent="0.2"/>
    <row r="862" ht="11.85" customHeight="1" x14ac:dyDescent="0.2"/>
    <row r="863" ht="11.85" customHeight="1" x14ac:dyDescent="0.2"/>
    <row r="864" ht="11.85" customHeight="1" x14ac:dyDescent="0.2"/>
    <row r="865" ht="11.85" customHeight="1" x14ac:dyDescent="0.2"/>
    <row r="866" ht="11.85" customHeight="1" x14ac:dyDescent="0.2"/>
    <row r="867" ht="11.85" customHeight="1" x14ac:dyDescent="0.2"/>
    <row r="868" ht="11.85" customHeight="1" x14ac:dyDescent="0.2"/>
    <row r="869" ht="11.85" customHeight="1" x14ac:dyDescent="0.2"/>
    <row r="870" ht="11.85" customHeight="1" x14ac:dyDescent="0.2"/>
    <row r="871" ht="11.85" customHeight="1" x14ac:dyDescent="0.2"/>
    <row r="872" ht="11.85" customHeight="1" x14ac:dyDescent="0.2"/>
    <row r="873" ht="11.85" customHeight="1" x14ac:dyDescent="0.2"/>
    <row r="874" ht="11.85" customHeight="1" x14ac:dyDescent="0.2"/>
    <row r="875" ht="11.85" customHeight="1" x14ac:dyDescent="0.2"/>
    <row r="876" ht="11.85" customHeight="1" x14ac:dyDescent="0.2"/>
    <row r="877" ht="11.85" customHeight="1" x14ac:dyDescent="0.2"/>
    <row r="878" ht="11.85" customHeight="1" x14ac:dyDescent="0.2"/>
    <row r="879" ht="11.85" customHeight="1" x14ac:dyDescent="0.2"/>
    <row r="880" ht="11.85" customHeight="1" x14ac:dyDescent="0.2"/>
    <row r="881" spans="1:17" ht="11.85" customHeight="1" x14ac:dyDescent="0.2"/>
    <row r="882" spans="1:17" ht="11.85" customHeight="1" x14ac:dyDescent="0.2"/>
    <row r="883" spans="1:17" ht="11.85" customHeight="1" x14ac:dyDescent="0.2"/>
    <row r="884" spans="1:17" ht="11.85" customHeight="1" x14ac:dyDescent="0.2"/>
    <row r="885" spans="1:17" ht="11.85" customHeight="1" x14ac:dyDescent="0.2"/>
    <row r="886" spans="1:17" ht="11.85" customHeight="1" x14ac:dyDescent="0.2"/>
    <row r="887" spans="1:17" ht="11.85" customHeight="1" x14ac:dyDescent="0.2"/>
    <row r="888" spans="1:17" ht="11.85" customHeight="1" x14ac:dyDescent="0.2">
      <c r="A888" s="1"/>
      <c r="B888" s="1"/>
      <c r="E888" s="2" t="str">
        <f>$E$1</f>
        <v>CITY OF BRADY</v>
      </c>
    </row>
    <row r="889" spans="1:17" ht="11.85" customHeight="1" x14ac:dyDescent="0.2">
      <c r="E889" s="2" t="str">
        <f>$E$2</f>
        <v>BUDGET REPORT</v>
      </c>
    </row>
    <row r="890" spans="1:17" ht="11.85" customHeight="1" x14ac:dyDescent="0.2">
      <c r="E890" s="2" t="str">
        <f>$E$3</f>
        <v>FISCAL YEAR 2024 - 2025</v>
      </c>
    </row>
    <row r="891" spans="1:17" ht="11.85" customHeight="1" x14ac:dyDescent="0.2">
      <c r="A891" s="3" t="s">
        <v>3</v>
      </c>
    </row>
    <row r="892" spans="1:17" ht="11.85" customHeight="1" x14ac:dyDescent="0.2">
      <c r="A892" s="3" t="s">
        <v>511</v>
      </c>
    </row>
    <row r="893" spans="1:17" ht="11.85" customHeight="1" x14ac:dyDescent="0.2">
      <c r="I893" s="53" t="str">
        <f>$I$6</f>
        <v>(----- 2023-2024------)</v>
      </c>
      <c r="J893" s="53"/>
      <c r="K893" s="53"/>
      <c r="L893" s="6"/>
      <c r="M893" s="54" t="str">
        <f>$M$6</f>
        <v>2024-2025</v>
      </c>
      <c r="N893" s="54"/>
      <c r="O893" s="54"/>
      <c r="P893" s="54"/>
      <c r="Q893" s="54"/>
    </row>
    <row r="894" spans="1:17" ht="11.85" customHeight="1" x14ac:dyDescent="0.2">
      <c r="C894" s="5" t="str">
        <f>$C$7</f>
        <v>2020-2021</v>
      </c>
      <c r="D894" s="5"/>
      <c r="E894" s="5" t="str">
        <f>$E$7</f>
        <v>2021-2022</v>
      </c>
      <c r="F894" s="5"/>
      <c r="G894" s="5" t="str">
        <f>$G$7</f>
        <v>2022-2023</v>
      </c>
      <c r="H894" s="5"/>
      <c r="I894" s="5" t="s">
        <v>9</v>
      </c>
      <c r="J894" s="5"/>
      <c r="K894" s="5" t="str">
        <f>+$K$7</f>
        <v>PROJECTED</v>
      </c>
      <c r="L894" s="6"/>
      <c r="M894" s="5">
        <f>$M$7</f>
        <v>0</v>
      </c>
      <c r="N894" s="6"/>
      <c r="O894" s="5" t="str">
        <f>$O$7</f>
        <v>2024-2025</v>
      </c>
      <c r="P894" s="6"/>
      <c r="Q894" s="5" t="str">
        <f>$Q$7</f>
        <v>APPROVED</v>
      </c>
    </row>
    <row r="895" spans="1:17" ht="11.85" customHeight="1" x14ac:dyDescent="0.2">
      <c r="A895" s="7" t="s">
        <v>273</v>
      </c>
      <c r="C895" s="8" t="s">
        <v>12</v>
      </c>
      <c r="D895" s="5"/>
      <c r="E895" s="8" t="s">
        <v>12</v>
      </c>
      <c r="F895" s="5"/>
      <c r="G895" s="8" t="s">
        <v>12</v>
      </c>
      <c r="H895" s="5"/>
      <c r="I895" s="8" t="s">
        <v>13</v>
      </c>
      <c r="J895" s="5"/>
      <c r="K895" s="8" t="s">
        <v>13</v>
      </c>
      <c r="L895" s="6"/>
      <c r="M895" s="8" t="str">
        <f>$M$8</f>
        <v>BASE</v>
      </c>
      <c r="N895" s="6"/>
      <c r="O895" s="8" t="str">
        <f>$O$8</f>
        <v>SUPPLEMENTAL</v>
      </c>
      <c r="P895" s="6"/>
      <c r="Q895" s="8" t="str">
        <f>$Q$8</f>
        <v>BUDGET</v>
      </c>
    </row>
    <row r="896" spans="1:17" ht="11.85" customHeight="1" x14ac:dyDescent="0.2"/>
    <row r="897" spans="1:21" ht="11.85" customHeight="1" x14ac:dyDescent="0.2">
      <c r="A897" s="10" t="s">
        <v>274</v>
      </c>
    </row>
    <row r="898" spans="1:21" ht="11.85" customHeight="1" x14ac:dyDescent="0.2">
      <c r="A898" s="3" t="s">
        <v>512</v>
      </c>
      <c r="C898" s="2">
        <v>40630.699999999997</v>
      </c>
      <c r="E898" s="2">
        <v>35063.629999999997</v>
      </c>
      <c r="G898" s="2">
        <v>31545</v>
      </c>
      <c r="I898" s="2">
        <v>40456</v>
      </c>
      <c r="K898" s="2">
        <v>40456</v>
      </c>
      <c r="L898" s="9"/>
      <c r="M898" s="2">
        <v>40352</v>
      </c>
      <c r="N898" s="9"/>
      <c r="O898" s="2">
        <v>0</v>
      </c>
      <c r="P898" s="9"/>
      <c r="Q898" s="2">
        <f t="shared" ref="Q898:Q904" si="32">M898+O898</f>
        <v>40352</v>
      </c>
      <c r="T898" s="11"/>
    </row>
    <row r="899" spans="1:21" ht="11.85" customHeight="1" x14ac:dyDescent="0.2">
      <c r="A899" s="3" t="s">
        <v>513</v>
      </c>
      <c r="C899" s="2">
        <v>0</v>
      </c>
      <c r="E899" s="2">
        <v>526.5</v>
      </c>
      <c r="G899" s="2">
        <v>789</v>
      </c>
      <c r="I899" s="2">
        <v>500</v>
      </c>
      <c r="K899" s="2">
        <v>500</v>
      </c>
      <c r="L899" s="9"/>
      <c r="M899" s="2">
        <v>500</v>
      </c>
      <c r="N899" s="9"/>
      <c r="O899" s="2">
        <v>0</v>
      </c>
      <c r="P899" s="9"/>
      <c r="Q899" s="2">
        <f t="shared" si="32"/>
        <v>500</v>
      </c>
      <c r="T899" s="11"/>
    </row>
    <row r="900" spans="1:21" ht="11.85" customHeight="1" x14ac:dyDescent="0.2">
      <c r="A900" s="3" t="s">
        <v>514</v>
      </c>
      <c r="C900" s="2">
        <v>0</v>
      </c>
      <c r="E900" s="2">
        <v>0</v>
      </c>
      <c r="G900" s="2">
        <v>0</v>
      </c>
      <c r="I900" s="2">
        <v>0</v>
      </c>
      <c r="K900" s="2">
        <v>0</v>
      </c>
      <c r="L900" s="9"/>
      <c r="M900" s="2">
        <v>0</v>
      </c>
      <c r="N900" s="9"/>
      <c r="O900" s="2">
        <v>0</v>
      </c>
      <c r="P900" s="9"/>
      <c r="Q900" s="2">
        <f t="shared" si="32"/>
        <v>0</v>
      </c>
      <c r="T900" s="11"/>
    </row>
    <row r="901" spans="1:21" ht="11.85" customHeight="1" x14ac:dyDescent="0.2">
      <c r="A901" s="3" t="s">
        <v>515</v>
      </c>
      <c r="C901" s="2">
        <v>0</v>
      </c>
      <c r="E901" s="2">
        <v>0</v>
      </c>
      <c r="G901" s="2">
        <v>0</v>
      </c>
      <c r="I901" s="2">
        <v>0</v>
      </c>
      <c r="K901" s="2">
        <v>0</v>
      </c>
      <c r="L901" s="9"/>
      <c r="M901" s="2">
        <v>0</v>
      </c>
      <c r="N901" s="9"/>
      <c r="O901" s="2">
        <v>0</v>
      </c>
      <c r="P901" s="9"/>
      <c r="Q901" s="2">
        <f t="shared" si="32"/>
        <v>0</v>
      </c>
      <c r="T901" s="11"/>
    </row>
    <row r="902" spans="1:21" ht="11.85" customHeight="1" x14ac:dyDescent="0.2">
      <c r="A902" s="3" t="s">
        <v>516</v>
      </c>
      <c r="C902" s="2">
        <v>930.55</v>
      </c>
      <c r="E902" s="2">
        <v>823.01</v>
      </c>
      <c r="G902" s="2">
        <v>810.11</v>
      </c>
      <c r="I902" s="2">
        <v>1736</v>
      </c>
      <c r="K902" s="2">
        <v>1736</v>
      </c>
      <c r="L902" s="9"/>
      <c r="M902" s="2">
        <v>1445</v>
      </c>
      <c r="N902" s="9"/>
      <c r="O902" s="2">
        <v>0</v>
      </c>
      <c r="P902" s="9"/>
      <c r="Q902" s="2">
        <f t="shared" si="32"/>
        <v>1445</v>
      </c>
      <c r="T902" s="11"/>
    </row>
    <row r="903" spans="1:21" ht="11.85" customHeight="1" x14ac:dyDescent="0.2">
      <c r="A903" s="3" t="s">
        <v>517</v>
      </c>
      <c r="C903" s="2">
        <v>1137.67</v>
      </c>
      <c r="E903" s="2">
        <v>33.68</v>
      </c>
      <c r="G903" s="2">
        <v>33.53</v>
      </c>
      <c r="I903" s="2">
        <v>1590</v>
      </c>
      <c r="K903" s="2">
        <v>1590</v>
      </c>
      <c r="L903" s="9"/>
      <c r="M903" s="2">
        <v>1710</v>
      </c>
      <c r="N903" s="9"/>
      <c r="O903" s="2">
        <v>0</v>
      </c>
      <c r="P903" s="9"/>
      <c r="Q903" s="2">
        <f t="shared" si="32"/>
        <v>1710</v>
      </c>
      <c r="T903" s="11"/>
    </row>
    <row r="904" spans="1:21" ht="11.85" customHeight="1" x14ac:dyDescent="0.2">
      <c r="A904" s="3" t="s">
        <v>518</v>
      </c>
      <c r="C904" s="12">
        <v>3108.28</v>
      </c>
      <c r="E904" s="12">
        <v>2722.75</v>
      </c>
      <c r="G904" s="12">
        <v>2473.6</v>
      </c>
      <c r="I904" s="12">
        <v>3195</v>
      </c>
      <c r="K904" s="12">
        <v>3195</v>
      </c>
      <c r="L904" s="9"/>
      <c r="M904" s="12">
        <v>3186</v>
      </c>
      <c r="N904" s="9"/>
      <c r="O904" s="12">
        <v>0</v>
      </c>
      <c r="P904" s="9"/>
      <c r="Q904" s="12">
        <f t="shared" si="32"/>
        <v>3186</v>
      </c>
      <c r="T904" s="11"/>
    </row>
    <row r="905" spans="1:21" ht="11.85" customHeight="1" x14ac:dyDescent="0.2">
      <c r="A905" s="3" t="s">
        <v>285</v>
      </c>
      <c r="C905" s="2">
        <f>SUM(C898:C904)</f>
        <v>45807.199999999997</v>
      </c>
      <c r="E905" s="2">
        <f>SUM(E898:E904)</f>
        <v>39169.57</v>
      </c>
      <c r="G905" s="2">
        <f>SUM(G898:G904)</f>
        <v>35651.24</v>
      </c>
      <c r="I905" s="2">
        <f>SUM(I898:I904)</f>
        <v>47477</v>
      </c>
      <c r="K905" s="2">
        <f>SUM(K898:K904)</f>
        <v>47477</v>
      </c>
      <c r="L905" s="9"/>
      <c r="M905" s="2">
        <f>SUM(M898:M904)</f>
        <v>47193</v>
      </c>
      <c r="N905" s="9"/>
      <c r="O905" s="2">
        <f>SUM(O898:O904)</f>
        <v>0</v>
      </c>
      <c r="P905" s="9"/>
      <c r="Q905" s="2">
        <f>SUM(Q898:Q904)</f>
        <v>47193</v>
      </c>
      <c r="R905" s="9"/>
      <c r="T905" s="14"/>
      <c r="U905" s="9"/>
    </row>
    <row r="906" spans="1:21" ht="11.85" customHeight="1" x14ac:dyDescent="0.2">
      <c r="L906" s="9"/>
      <c r="N906" s="9"/>
      <c r="P906" s="9"/>
    </row>
    <row r="907" spans="1:21" ht="11.85" customHeight="1" x14ac:dyDescent="0.2">
      <c r="A907" s="10" t="s">
        <v>286</v>
      </c>
      <c r="L907" s="9"/>
      <c r="N907" s="9"/>
      <c r="P907" s="9"/>
    </row>
    <row r="908" spans="1:21" ht="11.85" customHeight="1" x14ac:dyDescent="0.2">
      <c r="A908" s="3" t="s">
        <v>519</v>
      </c>
      <c r="C908" s="2">
        <v>0</v>
      </c>
      <c r="E908" s="2">
        <v>0</v>
      </c>
      <c r="G908" s="2">
        <v>0</v>
      </c>
      <c r="I908" s="2">
        <v>0</v>
      </c>
      <c r="K908" s="2">
        <v>0</v>
      </c>
      <c r="L908" s="9"/>
      <c r="M908" s="2">
        <v>0</v>
      </c>
      <c r="N908" s="9"/>
      <c r="O908" s="2">
        <v>0</v>
      </c>
      <c r="P908" s="9"/>
      <c r="Q908" s="2">
        <f t="shared" ref="Q908:Q913" si="33">M908+O908</f>
        <v>0</v>
      </c>
      <c r="T908" s="11"/>
    </row>
    <row r="909" spans="1:21" ht="11.85" customHeight="1" x14ac:dyDescent="0.2">
      <c r="A909" s="3" t="s">
        <v>520</v>
      </c>
      <c r="C909" s="2">
        <v>24304.55</v>
      </c>
      <c r="E909" s="2">
        <v>27345.61</v>
      </c>
      <c r="G909" s="2">
        <v>25879.05</v>
      </c>
      <c r="I909" s="2">
        <v>33000</v>
      </c>
      <c r="K909" s="2">
        <v>33000</v>
      </c>
      <c r="L909" s="9"/>
      <c r="M909" s="2">
        <v>30000</v>
      </c>
      <c r="N909" s="9"/>
      <c r="O909" s="2">
        <v>0</v>
      </c>
      <c r="P909" s="9"/>
      <c r="Q909" s="2">
        <f t="shared" si="33"/>
        <v>30000</v>
      </c>
      <c r="T909" s="11"/>
    </row>
    <row r="910" spans="1:21" ht="11.85" customHeight="1" x14ac:dyDescent="0.2">
      <c r="A910" s="3" t="s">
        <v>521</v>
      </c>
      <c r="C910" s="2">
        <v>0</v>
      </c>
      <c r="E910" s="2">
        <v>0</v>
      </c>
      <c r="G910" s="2">
        <v>0</v>
      </c>
      <c r="I910" s="2">
        <v>0</v>
      </c>
      <c r="K910" s="2">
        <v>0</v>
      </c>
      <c r="L910" s="9"/>
      <c r="M910" s="2">
        <v>0</v>
      </c>
      <c r="N910" s="9"/>
      <c r="O910" s="2">
        <v>0</v>
      </c>
      <c r="P910" s="9"/>
      <c r="Q910" s="2">
        <f t="shared" si="33"/>
        <v>0</v>
      </c>
      <c r="T910" s="11"/>
    </row>
    <row r="911" spans="1:21" ht="11.85" hidden="1" customHeight="1" x14ac:dyDescent="0.2">
      <c r="A911" s="3" t="s">
        <v>522</v>
      </c>
      <c r="C911" s="2">
        <v>0</v>
      </c>
      <c r="E911" s="2">
        <v>0</v>
      </c>
      <c r="G911" s="2">
        <v>0</v>
      </c>
      <c r="I911" s="2">
        <v>0</v>
      </c>
      <c r="K911" s="2">
        <v>0</v>
      </c>
      <c r="L911" s="9"/>
      <c r="M911" s="2">
        <v>0</v>
      </c>
      <c r="N911" s="9"/>
      <c r="O911" s="2">
        <v>0</v>
      </c>
      <c r="P911" s="9"/>
      <c r="Q911" s="2">
        <f t="shared" si="33"/>
        <v>0</v>
      </c>
      <c r="T911" s="11"/>
    </row>
    <row r="912" spans="1:21" ht="11.85" customHeight="1" x14ac:dyDescent="0.2">
      <c r="A912" s="3" t="s">
        <v>523</v>
      </c>
      <c r="C912" s="2">
        <v>0</v>
      </c>
      <c r="E912" s="2">
        <v>0</v>
      </c>
      <c r="G912" s="2">
        <v>0</v>
      </c>
      <c r="I912" s="2">
        <v>0</v>
      </c>
      <c r="K912" s="2">
        <v>0</v>
      </c>
      <c r="L912" s="9"/>
      <c r="M912" s="2">
        <v>0</v>
      </c>
      <c r="N912" s="9"/>
      <c r="O912" s="2">
        <v>0</v>
      </c>
      <c r="P912" s="9"/>
      <c r="Q912" s="2">
        <f t="shared" si="33"/>
        <v>0</v>
      </c>
      <c r="T912" s="11"/>
    </row>
    <row r="913" spans="1:20" ht="11.85" customHeight="1" x14ac:dyDescent="0.2">
      <c r="A913" s="3" t="s">
        <v>524</v>
      </c>
      <c r="C913" s="12">
        <v>0</v>
      </c>
      <c r="E913" s="12">
        <v>0</v>
      </c>
      <c r="G913" s="12">
        <v>0</v>
      </c>
      <c r="I913" s="12">
        <v>0</v>
      </c>
      <c r="K913" s="12">
        <v>0</v>
      </c>
      <c r="L913" s="9"/>
      <c r="M913" s="12">
        <v>0</v>
      </c>
      <c r="N913" s="9"/>
      <c r="O913" s="12">
        <v>0</v>
      </c>
      <c r="P913" s="9"/>
      <c r="Q913" s="12">
        <f t="shared" si="33"/>
        <v>0</v>
      </c>
      <c r="T913" s="11"/>
    </row>
    <row r="914" spans="1:20" ht="11.85" customHeight="1" x14ac:dyDescent="0.2">
      <c r="A914" s="3" t="s">
        <v>304</v>
      </c>
      <c r="C914" s="2">
        <f>SUM(C908:C913)</f>
        <v>24304.55</v>
      </c>
      <c r="E914" s="2">
        <f>SUM(E908:E913)</f>
        <v>27345.61</v>
      </c>
      <c r="G914" s="2">
        <f>SUM(G908:G913)</f>
        <v>25879.05</v>
      </c>
      <c r="I914" s="2">
        <f>SUM(I908:I913)</f>
        <v>33000</v>
      </c>
      <c r="K914" s="2">
        <f>SUM(K908:K913)</f>
        <v>33000</v>
      </c>
      <c r="L914" s="9"/>
      <c r="M914" s="2">
        <f>SUM(M908:M913)</f>
        <v>30000</v>
      </c>
      <c r="N914" s="9"/>
      <c r="O914" s="2">
        <f>SUM(O908:O913)</f>
        <v>0</v>
      </c>
      <c r="P914" s="9"/>
      <c r="Q914" s="2">
        <f>SUM(Q908:Q913)</f>
        <v>30000</v>
      </c>
      <c r="T914" s="11"/>
    </row>
    <row r="915" spans="1:20" ht="11.85" customHeight="1" x14ac:dyDescent="0.2">
      <c r="T915" s="11"/>
    </row>
    <row r="916" spans="1:20" ht="11.85" customHeight="1" x14ac:dyDescent="0.2">
      <c r="A916" s="10" t="s">
        <v>305</v>
      </c>
      <c r="T916" s="11"/>
    </row>
    <row r="917" spans="1:20" ht="11.85" customHeight="1" x14ac:dyDescent="0.2">
      <c r="A917" s="3" t="s">
        <v>525</v>
      </c>
      <c r="C917" s="2">
        <v>290.14</v>
      </c>
      <c r="E917" s="2">
        <v>537.82000000000005</v>
      </c>
      <c r="G917" s="2">
        <v>290.86</v>
      </c>
      <c r="I917" s="2">
        <v>300</v>
      </c>
      <c r="K917" s="2">
        <v>300</v>
      </c>
      <c r="L917" s="9"/>
      <c r="M917" s="2">
        <v>300</v>
      </c>
      <c r="N917" s="9"/>
      <c r="O917" s="2">
        <v>0</v>
      </c>
      <c r="P917" s="9"/>
      <c r="Q917" s="2">
        <f t="shared" ref="Q917:Q930" si="34">M917+O917</f>
        <v>300</v>
      </c>
      <c r="T917" s="11"/>
    </row>
    <row r="918" spans="1:20" ht="11.85" customHeight="1" x14ac:dyDescent="0.2">
      <c r="A918" s="3" t="s">
        <v>526</v>
      </c>
      <c r="C918" s="2">
        <v>2250</v>
      </c>
      <c r="E918" s="2">
        <v>3282.96</v>
      </c>
      <c r="G918" s="2">
        <v>3000</v>
      </c>
      <c r="I918" s="2">
        <v>3000</v>
      </c>
      <c r="K918" s="2">
        <v>3000</v>
      </c>
      <c r="L918" s="9"/>
      <c r="M918" s="2">
        <v>3000</v>
      </c>
      <c r="N918" s="9"/>
      <c r="O918" s="2">
        <v>0</v>
      </c>
      <c r="P918" s="9"/>
      <c r="Q918" s="2">
        <f t="shared" si="34"/>
        <v>3000</v>
      </c>
      <c r="T918" s="11"/>
    </row>
    <row r="919" spans="1:20" ht="11.85" customHeight="1" x14ac:dyDescent="0.2">
      <c r="A919" s="3" t="s">
        <v>527</v>
      </c>
      <c r="C919" s="2">
        <v>1586.15</v>
      </c>
      <c r="E919" s="2">
        <v>1135.6099999999999</v>
      </c>
      <c r="G919" s="2">
        <v>438.73</v>
      </c>
      <c r="I919" s="2">
        <v>2000</v>
      </c>
      <c r="K919" s="2">
        <v>2000</v>
      </c>
      <c r="L919" s="9"/>
      <c r="M919" s="2">
        <v>2000</v>
      </c>
      <c r="N919" s="9"/>
      <c r="O919" s="2">
        <v>0</v>
      </c>
      <c r="P919" s="9"/>
      <c r="Q919" s="2">
        <f t="shared" si="34"/>
        <v>2000</v>
      </c>
      <c r="T919" s="11"/>
    </row>
    <row r="920" spans="1:20" ht="11.85" hidden="1" customHeight="1" x14ac:dyDescent="0.2">
      <c r="A920" s="3" t="s">
        <v>528</v>
      </c>
      <c r="C920" s="2">
        <v>0</v>
      </c>
      <c r="E920" s="2">
        <v>0</v>
      </c>
      <c r="G920" s="2">
        <v>0</v>
      </c>
      <c r="I920" s="2">
        <v>0</v>
      </c>
      <c r="K920" s="2">
        <v>0</v>
      </c>
      <c r="L920" s="9"/>
      <c r="M920" s="2">
        <v>0</v>
      </c>
      <c r="N920" s="9"/>
      <c r="O920" s="2">
        <v>0</v>
      </c>
      <c r="P920" s="9"/>
      <c r="Q920" s="2">
        <f t="shared" si="34"/>
        <v>0</v>
      </c>
      <c r="T920" s="11"/>
    </row>
    <row r="921" spans="1:20" ht="11.85" customHeight="1" x14ac:dyDescent="0.2">
      <c r="A921" s="3" t="s">
        <v>529</v>
      </c>
      <c r="C921" s="2">
        <v>0</v>
      </c>
      <c r="E921" s="2">
        <v>0</v>
      </c>
      <c r="G921" s="2">
        <v>59.05</v>
      </c>
      <c r="I921" s="2">
        <v>0</v>
      </c>
      <c r="K921" s="2">
        <v>0</v>
      </c>
      <c r="L921" s="9"/>
      <c r="M921" s="2">
        <v>0</v>
      </c>
      <c r="N921" s="9"/>
      <c r="O921" s="2">
        <v>0</v>
      </c>
      <c r="P921" s="9"/>
      <c r="Q921" s="2">
        <f t="shared" si="34"/>
        <v>0</v>
      </c>
      <c r="T921" s="11"/>
    </row>
    <row r="922" spans="1:20" ht="11.85" customHeight="1" x14ac:dyDescent="0.2">
      <c r="A922" s="3" t="s">
        <v>530</v>
      </c>
      <c r="C922" s="2">
        <v>0</v>
      </c>
      <c r="E922" s="2">
        <v>0</v>
      </c>
      <c r="G922" s="2">
        <v>0</v>
      </c>
      <c r="I922" s="2">
        <v>0</v>
      </c>
      <c r="K922" s="2">
        <v>0</v>
      </c>
      <c r="L922" s="9"/>
      <c r="M922" s="2">
        <v>0</v>
      </c>
      <c r="N922" s="9"/>
      <c r="O922" s="2">
        <v>0</v>
      </c>
      <c r="P922" s="9"/>
      <c r="Q922" s="2">
        <f t="shared" si="34"/>
        <v>0</v>
      </c>
      <c r="T922" s="11"/>
    </row>
    <row r="923" spans="1:20" ht="11.85" customHeight="1" x14ac:dyDescent="0.2">
      <c r="A923" s="3" t="s">
        <v>531</v>
      </c>
      <c r="C923" s="2">
        <v>7148.35</v>
      </c>
      <c r="E923" s="2">
        <v>1705.81</v>
      </c>
      <c r="G923" s="2">
        <v>126.49</v>
      </c>
      <c r="I923" s="2">
        <v>2200</v>
      </c>
      <c r="K923" s="2">
        <f>2200+6000</f>
        <v>8200</v>
      </c>
      <c r="L923" s="9"/>
      <c r="M923" s="2">
        <v>2200</v>
      </c>
      <c r="N923" s="9"/>
      <c r="O923" s="2">
        <v>0</v>
      </c>
      <c r="P923" s="9"/>
      <c r="Q923" s="2">
        <f t="shared" si="34"/>
        <v>2200</v>
      </c>
      <c r="T923" s="11"/>
    </row>
    <row r="924" spans="1:20" ht="11.85" customHeight="1" x14ac:dyDescent="0.2">
      <c r="A924" s="3" t="s">
        <v>532</v>
      </c>
      <c r="C924" s="2">
        <v>515.80999999999995</v>
      </c>
      <c r="E924" s="2">
        <v>561.27</v>
      </c>
      <c r="G924" s="2">
        <v>570.71</v>
      </c>
      <c r="I924" s="2">
        <v>700</v>
      </c>
      <c r="K924" s="2">
        <v>700</v>
      </c>
      <c r="L924" s="9"/>
      <c r="M924" s="2">
        <v>700</v>
      </c>
      <c r="N924" s="9"/>
      <c r="O924" s="2">
        <v>0</v>
      </c>
      <c r="P924" s="9"/>
      <c r="Q924" s="2">
        <f t="shared" si="34"/>
        <v>700</v>
      </c>
      <c r="T924" s="11"/>
    </row>
    <row r="925" spans="1:20" ht="11.85" customHeight="1" x14ac:dyDescent="0.2">
      <c r="A925" s="3" t="s">
        <v>533</v>
      </c>
      <c r="C925" s="2">
        <v>1341.19</v>
      </c>
      <c r="E925" s="2">
        <v>1476.36</v>
      </c>
      <c r="G925" s="2">
        <v>609.05999999999995</v>
      </c>
      <c r="I925" s="2">
        <v>1800</v>
      </c>
      <c r="K925" s="2">
        <v>1800</v>
      </c>
      <c r="L925" s="9"/>
      <c r="M925" s="2">
        <v>1800</v>
      </c>
      <c r="N925" s="9"/>
      <c r="O925" s="2">
        <v>0</v>
      </c>
      <c r="P925" s="9"/>
      <c r="Q925" s="2">
        <f t="shared" si="34"/>
        <v>1800</v>
      </c>
      <c r="T925" s="11"/>
    </row>
    <row r="926" spans="1:20" ht="11.85" hidden="1" customHeight="1" x14ac:dyDescent="0.2">
      <c r="A926" s="3" t="s">
        <v>534</v>
      </c>
      <c r="C926" s="2">
        <v>0</v>
      </c>
      <c r="E926" s="2">
        <v>0</v>
      </c>
      <c r="G926" s="2">
        <v>0</v>
      </c>
      <c r="I926" s="2">
        <v>0</v>
      </c>
      <c r="K926" s="2">
        <v>0</v>
      </c>
      <c r="L926" s="9"/>
      <c r="M926" s="2">
        <v>0</v>
      </c>
      <c r="N926" s="9"/>
      <c r="O926" s="2">
        <v>0</v>
      </c>
      <c r="P926" s="9"/>
      <c r="Q926" s="2">
        <f t="shared" si="34"/>
        <v>0</v>
      </c>
      <c r="T926" s="11"/>
    </row>
    <row r="927" spans="1:20" ht="11.85" customHeight="1" x14ac:dyDescent="0.2">
      <c r="A927" s="3" t="s">
        <v>535</v>
      </c>
      <c r="C927" s="2">
        <v>8772.9500000000007</v>
      </c>
      <c r="E927" s="2">
        <v>6133.99</v>
      </c>
      <c r="G927" s="2">
        <v>7149.72</v>
      </c>
      <c r="I927" s="2">
        <v>9500</v>
      </c>
      <c r="K927" s="2">
        <f>9500+6000</f>
        <v>15500</v>
      </c>
      <c r="L927" s="9"/>
      <c r="M927" s="2">
        <v>15000</v>
      </c>
      <c r="N927" s="9"/>
      <c r="O927" s="2">
        <v>0</v>
      </c>
      <c r="P927" s="9"/>
      <c r="Q927" s="2">
        <f t="shared" si="34"/>
        <v>15000</v>
      </c>
      <c r="T927" s="11"/>
    </row>
    <row r="928" spans="1:20" ht="11.85" customHeight="1" x14ac:dyDescent="0.2">
      <c r="A928" s="3" t="s">
        <v>536</v>
      </c>
      <c r="C928" s="2">
        <v>676.11</v>
      </c>
      <c r="E928" s="2">
        <v>0</v>
      </c>
      <c r="G928" s="2">
        <v>476</v>
      </c>
      <c r="I928" s="2">
        <v>1300</v>
      </c>
      <c r="K928" s="2">
        <v>1300</v>
      </c>
      <c r="L928" s="9"/>
      <c r="M928" s="2">
        <v>1000</v>
      </c>
      <c r="N928" s="9"/>
      <c r="O928" s="2">
        <v>0</v>
      </c>
      <c r="P928" s="9"/>
      <c r="Q928" s="2">
        <f t="shared" si="34"/>
        <v>1000</v>
      </c>
      <c r="T928" s="11"/>
    </row>
    <row r="929" spans="1:21" ht="11.85" customHeight="1" x14ac:dyDescent="0.2">
      <c r="A929" s="3" t="s">
        <v>537</v>
      </c>
      <c r="C929" s="12">
        <v>2910.77</v>
      </c>
      <c r="E929" s="12">
        <v>3541.35</v>
      </c>
      <c r="G929" s="12">
        <v>4726.24</v>
      </c>
      <c r="I929" s="12">
        <v>2500</v>
      </c>
      <c r="K929" s="12">
        <v>2500</v>
      </c>
      <c r="L929" s="9"/>
      <c r="M929" s="12">
        <v>2500</v>
      </c>
      <c r="N929" s="9"/>
      <c r="O929" s="12">
        <v>0</v>
      </c>
      <c r="P929" s="9"/>
      <c r="Q929" s="12">
        <f t="shared" si="34"/>
        <v>2500</v>
      </c>
      <c r="T929" s="11"/>
    </row>
    <row r="930" spans="1:21" ht="11.85" hidden="1" customHeight="1" x14ac:dyDescent="0.2">
      <c r="A930" s="3" t="s">
        <v>538</v>
      </c>
      <c r="C930" s="12">
        <v>0</v>
      </c>
      <c r="E930" s="12">
        <v>0</v>
      </c>
      <c r="G930" s="12">
        <v>0</v>
      </c>
      <c r="I930" s="12">
        <v>0</v>
      </c>
      <c r="K930" s="12">
        <v>0</v>
      </c>
      <c r="L930" s="9"/>
      <c r="M930" s="12">
        <v>0</v>
      </c>
      <c r="N930" s="9"/>
      <c r="O930" s="12">
        <v>0</v>
      </c>
      <c r="P930" s="9"/>
      <c r="Q930" s="12">
        <f t="shared" si="34"/>
        <v>0</v>
      </c>
      <c r="T930" s="11"/>
    </row>
    <row r="931" spans="1:21" ht="11.85" customHeight="1" x14ac:dyDescent="0.2">
      <c r="A931" s="3" t="s">
        <v>328</v>
      </c>
      <c r="C931" s="2">
        <f>SUM(C917:C930)</f>
        <v>25491.47</v>
      </c>
      <c r="E931" s="2">
        <f>SUM(E917:E930)</f>
        <v>18375.170000000002</v>
      </c>
      <c r="G931" s="2">
        <f>SUM(G917:G930)</f>
        <v>17446.86</v>
      </c>
      <c r="I931" s="2">
        <f>SUM(I917:I930)</f>
        <v>23300</v>
      </c>
      <c r="K931" s="2">
        <f>SUM(K917:K930)</f>
        <v>35300</v>
      </c>
      <c r="L931" s="9"/>
      <c r="M931" s="2">
        <f>SUM(M917:M930)</f>
        <v>28500</v>
      </c>
      <c r="N931" s="9"/>
      <c r="O931" s="2">
        <f>SUM(O917:O930)</f>
        <v>0</v>
      </c>
      <c r="P931" s="9"/>
      <c r="Q931" s="2">
        <f>SUM(Q917:Q930)</f>
        <v>28500</v>
      </c>
      <c r="T931" s="14"/>
      <c r="U931" s="9"/>
    </row>
    <row r="932" spans="1:21" ht="11.85" customHeight="1" x14ac:dyDescent="0.2">
      <c r="L932" s="9"/>
      <c r="N932" s="9"/>
      <c r="P932" s="9"/>
    </row>
    <row r="933" spans="1:21" ht="11.85" customHeight="1" x14ac:dyDescent="0.2">
      <c r="A933" s="3" t="s">
        <v>539</v>
      </c>
      <c r="C933" s="2">
        <v>0</v>
      </c>
      <c r="E933" s="2">
        <v>0</v>
      </c>
      <c r="G933" s="2">
        <v>0</v>
      </c>
      <c r="I933" s="2">
        <v>0</v>
      </c>
      <c r="K933" s="2">
        <v>0</v>
      </c>
      <c r="L933" s="9"/>
      <c r="M933" s="2">
        <v>0</v>
      </c>
      <c r="N933" s="9"/>
      <c r="O933" s="2">
        <v>0</v>
      </c>
      <c r="P933" s="9"/>
      <c r="Q933" s="2">
        <f>M933+O933</f>
        <v>0</v>
      </c>
      <c r="T933" s="11"/>
    </row>
    <row r="934" spans="1:21" ht="11.85" customHeight="1" x14ac:dyDescent="0.2">
      <c r="A934" s="3" t="s">
        <v>540</v>
      </c>
      <c r="C934" s="12">
        <v>0</v>
      </c>
      <c r="E934" s="12">
        <v>0</v>
      </c>
      <c r="G934" s="12">
        <v>0</v>
      </c>
      <c r="I934" s="12">
        <v>0</v>
      </c>
      <c r="K934" s="12">
        <v>0</v>
      </c>
      <c r="L934" s="9"/>
      <c r="M934" s="12">
        <v>0</v>
      </c>
      <c r="N934" s="9"/>
      <c r="O934" s="12">
        <v>0</v>
      </c>
      <c r="P934" s="9"/>
      <c r="Q934" s="12">
        <f>M934+O934</f>
        <v>0</v>
      </c>
      <c r="T934" s="11"/>
    </row>
    <row r="935" spans="1:21" ht="11.85" customHeight="1" x14ac:dyDescent="0.2">
      <c r="A935" s="3" t="s">
        <v>331</v>
      </c>
      <c r="C935" s="2">
        <f>SUM(C933:C934)</f>
        <v>0</v>
      </c>
      <c r="E935" s="2">
        <f>SUM(E933:E934)</f>
        <v>0</v>
      </c>
      <c r="G935" s="2">
        <f>SUM(G933:G934)</f>
        <v>0</v>
      </c>
      <c r="I935" s="2">
        <f>SUM(I933:I934)</f>
        <v>0</v>
      </c>
      <c r="K935" s="2">
        <f>SUM(K933:K934)</f>
        <v>0</v>
      </c>
      <c r="L935" s="9"/>
      <c r="M935" s="2">
        <f>SUM(M933:M934)</f>
        <v>0</v>
      </c>
      <c r="N935" s="9"/>
      <c r="O935" s="2">
        <f>SUM(O933:O934)</f>
        <v>0</v>
      </c>
      <c r="P935" s="9"/>
      <c r="Q935" s="2">
        <f>SUM(Q933:Q934)</f>
        <v>0</v>
      </c>
    </row>
    <row r="936" spans="1:21" ht="11.85" customHeight="1" x14ac:dyDescent="0.2">
      <c r="L936" s="9"/>
      <c r="N936" s="9"/>
      <c r="P936" s="9"/>
    </row>
    <row r="937" spans="1:21" ht="11.85" customHeight="1" x14ac:dyDescent="0.2">
      <c r="A937" s="3" t="s">
        <v>541</v>
      </c>
      <c r="C937" s="2">
        <f>C905+C914+C931+C935</f>
        <v>95603.22</v>
      </c>
      <c r="E937" s="2">
        <f>E905+E914+E931+E935</f>
        <v>84890.349999999991</v>
      </c>
      <c r="G937" s="2">
        <f>G905+G914+G931+G935</f>
        <v>78977.149999999994</v>
      </c>
      <c r="I937" s="2">
        <f>I905+I914+I931+I935</f>
        <v>103777</v>
      </c>
      <c r="K937" s="2">
        <f>K905+K914+K931+K935</f>
        <v>115777</v>
      </c>
      <c r="L937" s="9"/>
      <c r="M937" s="2">
        <f>M905+M914+M931+M935</f>
        <v>105693</v>
      </c>
      <c r="N937" s="9"/>
      <c r="O937" s="2">
        <f>O905+O914+O931+O935</f>
        <v>0</v>
      </c>
      <c r="P937" s="9"/>
      <c r="Q937" s="2">
        <f>Q905+Q914+Q931+Q935</f>
        <v>105693</v>
      </c>
      <c r="R937" s="9"/>
      <c r="T937" s="11"/>
      <c r="U937" s="9"/>
    </row>
    <row r="938" spans="1:21" ht="11.85" customHeight="1" x14ac:dyDescent="0.2">
      <c r="L938" s="9"/>
      <c r="N938" s="9"/>
      <c r="P938" s="9"/>
    </row>
    <row r="939" spans="1:21" ht="11.85" customHeight="1" x14ac:dyDescent="0.2">
      <c r="L939" s="9"/>
      <c r="N939" s="9"/>
      <c r="P939" s="9"/>
    </row>
    <row r="940" spans="1:21" ht="11.85" customHeight="1" x14ac:dyDescent="0.2">
      <c r="L940" s="9"/>
      <c r="N940" s="9"/>
      <c r="P940" s="9"/>
    </row>
    <row r="941" spans="1:21" ht="11.85" customHeight="1" x14ac:dyDescent="0.2">
      <c r="L941" s="9"/>
      <c r="N941" s="9"/>
      <c r="P941" s="9"/>
    </row>
    <row r="942" spans="1:21" ht="11.85" customHeight="1" x14ac:dyDescent="0.2">
      <c r="L942" s="9"/>
      <c r="N942" s="9"/>
      <c r="P942" s="9"/>
    </row>
    <row r="943" spans="1:21" ht="11.85" customHeight="1" x14ac:dyDescent="0.2">
      <c r="L943" s="9"/>
      <c r="N943" s="9"/>
      <c r="P943" s="9"/>
    </row>
    <row r="944" spans="1:21" ht="11.85" customHeight="1" x14ac:dyDescent="0.2">
      <c r="L944" s="9"/>
      <c r="N944" s="9"/>
      <c r="P944" s="9"/>
    </row>
    <row r="945" spans="1:20" ht="11.85" customHeight="1" x14ac:dyDescent="0.2">
      <c r="L945" s="9"/>
      <c r="N945" s="9"/>
      <c r="P945" s="9"/>
    </row>
    <row r="946" spans="1:20" ht="11.85" customHeight="1" x14ac:dyDescent="0.2">
      <c r="L946" s="9"/>
      <c r="N946" s="9"/>
      <c r="P946" s="9"/>
    </row>
    <row r="947" spans="1:20" ht="11.85" customHeight="1" x14ac:dyDescent="0.2">
      <c r="L947" s="9"/>
      <c r="N947" s="9"/>
      <c r="P947" s="9"/>
    </row>
    <row r="948" spans="1:20" ht="11.85" customHeight="1" x14ac:dyDescent="0.2">
      <c r="L948" s="9"/>
      <c r="N948" s="9"/>
      <c r="P948" s="9"/>
    </row>
    <row r="949" spans="1:20" ht="11.85" customHeight="1" x14ac:dyDescent="0.2">
      <c r="L949" s="9"/>
      <c r="N949" s="9"/>
      <c r="P949" s="9"/>
    </row>
    <row r="950" spans="1:20" ht="11.85" customHeight="1" x14ac:dyDescent="0.2">
      <c r="A950" s="1"/>
      <c r="B950" s="1"/>
      <c r="E950" s="2" t="str">
        <f>$E$1</f>
        <v>CITY OF BRADY</v>
      </c>
    </row>
    <row r="951" spans="1:20" ht="11.85" customHeight="1" x14ac:dyDescent="0.2">
      <c r="E951" s="2" t="str">
        <f>$E$2</f>
        <v>BUDGET REPORT</v>
      </c>
    </row>
    <row r="952" spans="1:20" ht="11.85" customHeight="1" x14ac:dyDescent="0.2">
      <c r="E952" s="2" t="str">
        <f>$E$3</f>
        <v>FISCAL YEAR 2024 - 2025</v>
      </c>
    </row>
    <row r="953" spans="1:20" ht="11.85" customHeight="1" x14ac:dyDescent="0.2">
      <c r="A953" s="3" t="s">
        <v>3</v>
      </c>
    </row>
    <row r="954" spans="1:20" ht="11.85" customHeight="1" x14ac:dyDescent="0.2">
      <c r="A954" s="3" t="s">
        <v>542</v>
      </c>
    </row>
    <row r="955" spans="1:20" ht="11.85" customHeight="1" x14ac:dyDescent="0.2">
      <c r="I955" s="53" t="str">
        <f>$I$6</f>
        <v>(----- 2023-2024------)</v>
      </c>
      <c r="J955" s="53"/>
      <c r="K955" s="53"/>
      <c r="L955" s="6"/>
      <c r="M955" s="54" t="str">
        <f>$M$6</f>
        <v>2024-2025</v>
      </c>
      <c r="N955" s="54"/>
      <c r="O955" s="54"/>
      <c r="P955" s="54"/>
      <c r="Q955" s="54"/>
    </row>
    <row r="956" spans="1:20" ht="11.85" customHeight="1" x14ac:dyDescent="0.2">
      <c r="C956" s="5" t="str">
        <f>$C$7</f>
        <v>2020-2021</v>
      </c>
      <c r="D956" s="5"/>
      <c r="E956" s="5" t="str">
        <f>$E$7</f>
        <v>2021-2022</v>
      </c>
      <c r="F956" s="5"/>
      <c r="G956" s="5" t="str">
        <f>$G$7</f>
        <v>2022-2023</v>
      </c>
      <c r="H956" s="5"/>
      <c r="I956" s="5" t="s">
        <v>9</v>
      </c>
      <c r="J956" s="5"/>
      <c r="K956" s="5" t="str">
        <f>+$K$7</f>
        <v>PROJECTED</v>
      </c>
      <c r="L956" s="6"/>
      <c r="M956" s="5">
        <f>$M$7</f>
        <v>0</v>
      </c>
      <c r="N956" s="6"/>
      <c r="O956" s="5" t="str">
        <f>$O$7</f>
        <v>2024-2025</v>
      </c>
      <c r="P956" s="6"/>
      <c r="Q956" s="5" t="str">
        <f>$Q$7</f>
        <v>APPROVED</v>
      </c>
    </row>
    <row r="957" spans="1:20" ht="11.85" customHeight="1" x14ac:dyDescent="0.2">
      <c r="A957" s="7" t="s">
        <v>273</v>
      </c>
      <c r="C957" s="8" t="s">
        <v>12</v>
      </c>
      <c r="D957" s="5"/>
      <c r="E957" s="8" t="s">
        <v>12</v>
      </c>
      <c r="F957" s="5"/>
      <c r="G957" s="8" t="s">
        <v>12</v>
      </c>
      <c r="H957" s="5"/>
      <c r="I957" s="8" t="s">
        <v>13</v>
      </c>
      <c r="J957" s="5"/>
      <c r="K957" s="8" t="s">
        <v>13</v>
      </c>
      <c r="L957" s="6"/>
      <c r="M957" s="8" t="str">
        <f>$M$8</f>
        <v>BASE</v>
      </c>
      <c r="N957" s="6"/>
      <c r="O957" s="8" t="str">
        <f>$O$8</f>
        <v>SUPPLEMENTAL</v>
      </c>
      <c r="P957" s="6"/>
      <c r="Q957" s="8" t="str">
        <f>$Q$8</f>
        <v>BUDGET</v>
      </c>
    </row>
    <row r="958" spans="1:20" ht="11.85" customHeight="1" x14ac:dyDescent="0.2"/>
    <row r="959" spans="1:20" ht="11.85" customHeight="1" x14ac:dyDescent="0.2">
      <c r="A959" s="10" t="s">
        <v>274</v>
      </c>
    </row>
    <row r="960" spans="1:20" ht="11.85" customHeight="1" x14ac:dyDescent="0.2">
      <c r="A960" s="3" t="s">
        <v>543</v>
      </c>
      <c r="C960" s="2">
        <v>147672.32000000001</v>
      </c>
      <c r="E960" s="2">
        <v>152089.24</v>
      </c>
      <c r="G960" s="2">
        <v>121911.62</v>
      </c>
      <c r="I960" s="2">
        <v>173732</v>
      </c>
      <c r="K960" s="2">
        <v>173732</v>
      </c>
      <c r="L960" s="9"/>
      <c r="M960" s="2">
        <v>175684</v>
      </c>
      <c r="N960" s="9"/>
      <c r="O960" s="2">
        <v>0</v>
      </c>
      <c r="P960" s="9"/>
      <c r="Q960" s="2">
        <f t="shared" ref="Q960:Q968" si="35">M960+O960</f>
        <v>175684</v>
      </c>
      <c r="T960" s="11"/>
    </row>
    <row r="961" spans="1:21" ht="11.85" customHeight="1" x14ac:dyDescent="0.2">
      <c r="A961" s="3" t="s">
        <v>544</v>
      </c>
      <c r="C961" s="2">
        <v>3466.66</v>
      </c>
      <c r="E961" s="2">
        <v>649.20000000000005</v>
      </c>
      <c r="G961" s="2">
        <v>1144.3499999999999</v>
      </c>
      <c r="I961" s="2">
        <v>5000</v>
      </c>
      <c r="K961" s="2">
        <v>5000</v>
      </c>
      <c r="L961" s="9"/>
      <c r="M961" s="2">
        <v>5000</v>
      </c>
      <c r="N961" s="9"/>
      <c r="O961" s="2">
        <v>0</v>
      </c>
      <c r="P961" s="9"/>
      <c r="Q961" s="2">
        <f t="shared" si="35"/>
        <v>5000</v>
      </c>
      <c r="T961" s="11"/>
    </row>
    <row r="962" spans="1:21" ht="11.85" customHeight="1" x14ac:dyDescent="0.2">
      <c r="A962" s="3" t="s">
        <v>545</v>
      </c>
      <c r="C962" s="2">
        <v>2475</v>
      </c>
      <c r="E962" s="2">
        <v>2925</v>
      </c>
      <c r="G962" s="2">
        <v>525</v>
      </c>
      <c r="I962" s="2">
        <v>1800</v>
      </c>
      <c r="K962" s="2">
        <v>1800</v>
      </c>
      <c r="L962" s="9"/>
      <c r="M962" s="2">
        <v>1800</v>
      </c>
      <c r="N962" s="9"/>
      <c r="O962" s="2">
        <v>0</v>
      </c>
      <c r="P962" s="9"/>
      <c r="Q962" s="2">
        <f t="shared" si="35"/>
        <v>1800</v>
      </c>
      <c r="T962" s="11"/>
    </row>
    <row r="963" spans="1:21" ht="11.85" hidden="1" customHeight="1" x14ac:dyDescent="0.2">
      <c r="A963" s="3" t="s">
        <v>546</v>
      </c>
      <c r="C963" s="2">
        <v>0</v>
      </c>
      <c r="E963" s="2">
        <v>0</v>
      </c>
      <c r="G963" s="2">
        <v>0</v>
      </c>
      <c r="I963" s="2">
        <v>0</v>
      </c>
      <c r="K963" s="2">
        <v>0</v>
      </c>
      <c r="L963" s="9"/>
      <c r="M963" s="2">
        <v>0</v>
      </c>
      <c r="N963" s="9"/>
      <c r="O963" s="2">
        <v>0</v>
      </c>
      <c r="P963" s="9"/>
      <c r="Q963" s="2">
        <f t="shared" si="35"/>
        <v>0</v>
      </c>
      <c r="T963" s="11"/>
    </row>
    <row r="964" spans="1:21" ht="11.85" customHeight="1" x14ac:dyDescent="0.2">
      <c r="A964" s="3" t="s">
        <v>547</v>
      </c>
      <c r="C964" s="2">
        <v>23063.42</v>
      </c>
      <c r="E964" s="2">
        <v>21593.1</v>
      </c>
      <c r="G964" s="2">
        <v>13673.12</v>
      </c>
      <c r="I964" s="2">
        <v>22920</v>
      </c>
      <c r="K964" s="2">
        <f>22920-4414</f>
        <v>18506</v>
      </c>
      <c r="L964" s="9"/>
      <c r="M964" s="2">
        <v>20283</v>
      </c>
      <c r="N964" s="9"/>
      <c r="O964" s="2">
        <v>0</v>
      </c>
      <c r="P964" s="9"/>
      <c r="Q964" s="2">
        <f t="shared" si="35"/>
        <v>20283</v>
      </c>
      <c r="T964" s="11"/>
    </row>
    <row r="965" spans="1:21" ht="11.85" customHeight="1" x14ac:dyDescent="0.2">
      <c r="A965" s="3" t="s">
        <v>548</v>
      </c>
      <c r="C965" s="2">
        <v>15131.73</v>
      </c>
      <c r="E965" s="2">
        <v>14941.18</v>
      </c>
      <c r="G965" s="2">
        <v>11367.79</v>
      </c>
      <c r="I965" s="2">
        <v>15743</v>
      </c>
      <c r="K965" s="2">
        <v>15743</v>
      </c>
      <c r="L965" s="9"/>
      <c r="M965" s="2">
        <v>15858</v>
      </c>
      <c r="N965" s="9"/>
      <c r="O965" s="2">
        <v>0</v>
      </c>
      <c r="P965" s="9"/>
      <c r="Q965" s="2">
        <f t="shared" si="35"/>
        <v>15858</v>
      </c>
      <c r="T965" s="11"/>
    </row>
    <row r="966" spans="1:21" ht="11.85" customHeight="1" x14ac:dyDescent="0.2">
      <c r="A966" s="3" t="s">
        <v>549</v>
      </c>
      <c r="C966" s="2">
        <v>3728.89</v>
      </c>
      <c r="E966" s="2">
        <v>3149.23</v>
      </c>
      <c r="G966" s="2">
        <v>5199.53</v>
      </c>
      <c r="I966" s="2">
        <v>3501</v>
      </c>
      <c r="K966" s="2">
        <v>3501</v>
      </c>
      <c r="L966" s="9"/>
      <c r="M966" s="2">
        <v>4332</v>
      </c>
      <c r="N966" s="9"/>
      <c r="O966" s="2">
        <v>0</v>
      </c>
      <c r="P966" s="9"/>
      <c r="Q966" s="2">
        <f t="shared" si="35"/>
        <v>4332</v>
      </c>
      <c r="T966" s="11"/>
    </row>
    <row r="967" spans="1:21" ht="11.85" customHeight="1" x14ac:dyDescent="0.2">
      <c r="A967" s="3" t="s">
        <v>550</v>
      </c>
      <c r="C967" s="2">
        <v>504</v>
      </c>
      <c r="E967" s="2">
        <v>18</v>
      </c>
      <c r="G967" s="2">
        <v>19.28</v>
      </c>
      <c r="I967" s="2">
        <v>335</v>
      </c>
      <c r="K967" s="2">
        <v>335</v>
      </c>
      <c r="L967" s="9"/>
      <c r="M967" s="2">
        <v>360</v>
      </c>
      <c r="N967" s="9"/>
      <c r="O967" s="2">
        <v>0</v>
      </c>
      <c r="P967" s="9"/>
      <c r="Q967" s="2">
        <f t="shared" si="35"/>
        <v>360</v>
      </c>
      <c r="T967" s="11"/>
    </row>
    <row r="968" spans="1:21" ht="11.85" customHeight="1" x14ac:dyDescent="0.2">
      <c r="A968" s="3" t="s">
        <v>551</v>
      </c>
      <c r="C968" s="12">
        <v>11423.74</v>
      </c>
      <c r="E968" s="12">
        <v>12311.39</v>
      </c>
      <c r="G968" s="12">
        <v>9518.2199999999993</v>
      </c>
      <c r="I968" s="12">
        <v>13941</v>
      </c>
      <c r="K968" s="12">
        <v>13941</v>
      </c>
      <c r="L968" s="9"/>
      <c r="M968" s="12">
        <v>14093</v>
      </c>
      <c r="N968" s="9"/>
      <c r="O968" s="12">
        <v>0</v>
      </c>
      <c r="P968" s="9"/>
      <c r="Q968" s="12">
        <f t="shared" si="35"/>
        <v>14093</v>
      </c>
      <c r="T968" s="11"/>
    </row>
    <row r="969" spans="1:21" ht="11.85" customHeight="1" x14ac:dyDescent="0.2">
      <c r="A969" s="3" t="s">
        <v>285</v>
      </c>
      <c r="C969" s="2">
        <f>SUM(C960:C968)</f>
        <v>207465.76000000004</v>
      </c>
      <c r="E969" s="2">
        <f>SUM(E960:E968)</f>
        <v>207676.34000000003</v>
      </c>
      <c r="G969" s="2">
        <f>SUM(G960:G968)</f>
        <v>163358.91</v>
      </c>
      <c r="I969" s="2">
        <f>SUM(I960:I968)</f>
        <v>236972</v>
      </c>
      <c r="K969" s="2">
        <f>SUM(K960:K968)</f>
        <v>232558</v>
      </c>
      <c r="L969" s="9"/>
      <c r="M969" s="2">
        <f>SUM(M960:M968)</f>
        <v>237410</v>
      </c>
      <c r="N969" s="9"/>
      <c r="O969" s="2">
        <f>SUM(O960:O968)</f>
        <v>0</v>
      </c>
      <c r="P969" s="9"/>
      <c r="Q969" s="2">
        <f>SUM(Q960:Q968)</f>
        <v>237410</v>
      </c>
      <c r="R969" s="9"/>
      <c r="T969" s="14"/>
      <c r="U969" s="9"/>
    </row>
    <row r="970" spans="1:21" ht="11.85" customHeight="1" x14ac:dyDescent="0.2">
      <c r="L970" s="9"/>
      <c r="N970" s="9"/>
      <c r="P970" s="9"/>
    </row>
    <row r="971" spans="1:21" ht="11.85" customHeight="1" x14ac:dyDescent="0.2">
      <c r="A971" s="10" t="s">
        <v>286</v>
      </c>
      <c r="L971" s="9"/>
      <c r="N971" s="9"/>
      <c r="P971" s="9"/>
    </row>
    <row r="972" spans="1:21" ht="11.85" customHeight="1" x14ac:dyDescent="0.2">
      <c r="A972" s="3" t="s">
        <v>552</v>
      </c>
      <c r="C972" s="2">
        <v>220</v>
      </c>
      <c r="E972" s="2">
        <v>395</v>
      </c>
      <c r="G972" s="2">
        <v>220</v>
      </c>
      <c r="I972" s="2">
        <v>500</v>
      </c>
      <c r="K972" s="2">
        <v>500</v>
      </c>
      <c r="L972" s="9"/>
      <c r="M972" s="2">
        <v>500</v>
      </c>
      <c r="N972" s="9"/>
      <c r="O972" s="2">
        <v>0</v>
      </c>
      <c r="P972" s="9"/>
      <c r="Q972" s="2">
        <f t="shared" ref="Q972:Q987" si="36">M972+O972</f>
        <v>500</v>
      </c>
      <c r="T972" s="11"/>
    </row>
    <row r="973" spans="1:21" ht="11.85" customHeight="1" x14ac:dyDescent="0.2">
      <c r="A973" s="3" t="s">
        <v>553</v>
      </c>
      <c r="C973" s="2">
        <v>10828.87</v>
      </c>
      <c r="E973" s="2">
        <v>13363.56</v>
      </c>
      <c r="G973" s="2">
        <v>11445.65</v>
      </c>
      <c r="I973" s="2">
        <v>10000</v>
      </c>
      <c r="K973" s="2">
        <v>10000</v>
      </c>
      <c r="L973" s="9"/>
      <c r="M973" s="2">
        <v>11000</v>
      </c>
      <c r="N973" s="9"/>
      <c r="O973" s="2">
        <v>0</v>
      </c>
      <c r="P973" s="9"/>
      <c r="Q973" s="2">
        <f t="shared" si="36"/>
        <v>11000</v>
      </c>
      <c r="T973" s="11"/>
    </row>
    <row r="974" spans="1:21" ht="11.85" customHeight="1" x14ac:dyDescent="0.2">
      <c r="A974" s="3" t="s">
        <v>554</v>
      </c>
      <c r="C974" s="2">
        <v>0</v>
      </c>
      <c r="E974" s="2">
        <v>0</v>
      </c>
      <c r="G974" s="2">
        <v>0</v>
      </c>
      <c r="I974" s="2">
        <v>0</v>
      </c>
      <c r="K974" s="2">
        <v>0</v>
      </c>
      <c r="L974" s="9"/>
      <c r="M974" s="2">
        <v>0</v>
      </c>
      <c r="N974" s="9"/>
      <c r="O974" s="2">
        <v>0</v>
      </c>
      <c r="P974" s="9"/>
      <c r="Q974" s="2">
        <f t="shared" si="36"/>
        <v>0</v>
      </c>
      <c r="T974" s="11"/>
    </row>
    <row r="975" spans="1:21" ht="11.85" customHeight="1" x14ac:dyDescent="0.2">
      <c r="A975" s="3" t="s">
        <v>555</v>
      </c>
      <c r="C975" s="2">
        <v>0</v>
      </c>
      <c r="E975" s="2">
        <v>0</v>
      </c>
      <c r="G975" s="2">
        <v>0</v>
      </c>
      <c r="I975" s="2">
        <v>0</v>
      </c>
      <c r="K975" s="2">
        <v>0</v>
      </c>
      <c r="L975" s="9"/>
      <c r="M975" s="2">
        <v>0</v>
      </c>
      <c r="N975" s="9"/>
      <c r="O975" s="2">
        <v>0</v>
      </c>
      <c r="P975" s="9"/>
      <c r="Q975" s="2">
        <f t="shared" si="36"/>
        <v>0</v>
      </c>
      <c r="T975" s="11"/>
    </row>
    <row r="976" spans="1:21" ht="11.85" customHeight="1" x14ac:dyDescent="0.2">
      <c r="A976" s="3" t="s">
        <v>556</v>
      </c>
      <c r="C976" s="2">
        <v>22758.3</v>
      </c>
      <c r="E976" s="2">
        <v>25183.73</v>
      </c>
      <c r="G976" s="2">
        <v>28768.45</v>
      </c>
      <c r="I976" s="2">
        <v>33200</v>
      </c>
      <c r="K976" s="2">
        <v>33200</v>
      </c>
      <c r="L976" s="9"/>
      <c r="M976" s="2">
        <v>34000</v>
      </c>
      <c r="N976" s="9"/>
      <c r="O976" s="2">
        <v>0</v>
      </c>
      <c r="P976" s="9"/>
      <c r="Q976" s="2">
        <f t="shared" si="36"/>
        <v>34000</v>
      </c>
      <c r="R976" s="28"/>
      <c r="T976" s="11"/>
    </row>
    <row r="977" spans="1:20" ht="11.85" customHeight="1" x14ac:dyDescent="0.2">
      <c r="A977" s="3" t="s">
        <v>557</v>
      </c>
      <c r="C977" s="2">
        <v>0</v>
      </c>
      <c r="E977" s="2">
        <v>0</v>
      </c>
      <c r="G977" s="2">
        <v>0</v>
      </c>
      <c r="I977" s="2">
        <v>0</v>
      </c>
      <c r="K977" s="2">
        <v>0</v>
      </c>
      <c r="L977" s="9"/>
      <c r="M977" s="2">
        <v>0</v>
      </c>
      <c r="N977" s="9"/>
      <c r="O977" s="2">
        <v>0</v>
      </c>
      <c r="P977" s="9"/>
      <c r="Q977" s="2">
        <f t="shared" si="36"/>
        <v>0</v>
      </c>
      <c r="T977" s="11"/>
    </row>
    <row r="978" spans="1:20" ht="11.85" customHeight="1" x14ac:dyDescent="0.2">
      <c r="A978" s="3" t="s">
        <v>558</v>
      </c>
      <c r="C978" s="2">
        <v>0</v>
      </c>
      <c r="E978" s="2">
        <v>0</v>
      </c>
      <c r="G978" s="2">
        <v>0</v>
      </c>
      <c r="I978" s="2">
        <v>0</v>
      </c>
      <c r="K978" s="2">
        <v>0</v>
      </c>
      <c r="L978" s="9"/>
      <c r="M978" s="2">
        <v>0</v>
      </c>
      <c r="N978" s="9"/>
      <c r="O978" s="2">
        <v>0</v>
      </c>
      <c r="P978" s="9"/>
      <c r="Q978" s="2">
        <f t="shared" si="36"/>
        <v>0</v>
      </c>
      <c r="T978" s="11"/>
    </row>
    <row r="979" spans="1:20" ht="11.85" hidden="1" customHeight="1" x14ac:dyDescent="0.2">
      <c r="A979" s="3" t="s">
        <v>559</v>
      </c>
      <c r="C979" s="2">
        <v>0</v>
      </c>
      <c r="E979" s="2">
        <v>0</v>
      </c>
      <c r="G979" s="2">
        <v>0</v>
      </c>
      <c r="I979" s="2">
        <v>0</v>
      </c>
      <c r="K979" s="2">
        <v>0</v>
      </c>
      <c r="L979" s="9"/>
      <c r="M979" s="2">
        <v>0</v>
      </c>
      <c r="N979" s="9"/>
      <c r="O979" s="2">
        <v>0</v>
      </c>
      <c r="P979" s="9"/>
      <c r="Q979" s="2">
        <f t="shared" si="36"/>
        <v>0</v>
      </c>
      <c r="T979" s="11"/>
    </row>
    <row r="980" spans="1:20" ht="11.85" customHeight="1" x14ac:dyDescent="0.2">
      <c r="A980" s="3" t="s">
        <v>560</v>
      </c>
      <c r="C980" s="2">
        <v>1974.03</v>
      </c>
      <c r="E980" s="2">
        <v>977.98</v>
      </c>
      <c r="G980" s="2">
        <v>814.99</v>
      </c>
      <c r="I980" s="2">
        <v>1100</v>
      </c>
      <c r="K980" s="2">
        <v>1100</v>
      </c>
      <c r="L980" s="9"/>
      <c r="M980" s="2">
        <v>1100</v>
      </c>
      <c r="N980" s="9"/>
      <c r="O980" s="2">
        <v>0</v>
      </c>
      <c r="P980" s="9"/>
      <c r="Q980" s="2">
        <f t="shared" si="36"/>
        <v>1100</v>
      </c>
      <c r="T980" s="11"/>
    </row>
    <row r="981" spans="1:20" ht="11.85" customHeight="1" x14ac:dyDescent="0.2">
      <c r="A981" s="3" t="s">
        <v>561</v>
      </c>
      <c r="C981" s="2">
        <v>0</v>
      </c>
      <c r="E981" s="2">
        <v>0</v>
      </c>
      <c r="G981" s="2">
        <v>0</v>
      </c>
      <c r="I981" s="2">
        <v>0</v>
      </c>
      <c r="K981" s="2">
        <v>0</v>
      </c>
      <c r="L981" s="9"/>
      <c r="M981" s="2">
        <v>0</v>
      </c>
      <c r="N981" s="9"/>
      <c r="O981" s="2">
        <v>0</v>
      </c>
      <c r="P981" s="9"/>
      <c r="Q981" s="2">
        <f t="shared" si="36"/>
        <v>0</v>
      </c>
      <c r="T981" s="11"/>
    </row>
    <row r="982" spans="1:20" ht="11.85" customHeight="1" x14ac:dyDescent="0.2">
      <c r="A982" s="3" t="s">
        <v>562</v>
      </c>
      <c r="C982" s="2">
        <v>0</v>
      </c>
      <c r="E982" s="2">
        <v>0</v>
      </c>
      <c r="G982" s="2">
        <v>0</v>
      </c>
      <c r="I982" s="2">
        <v>0</v>
      </c>
      <c r="K982" s="2">
        <v>0</v>
      </c>
      <c r="L982" s="9"/>
      <c r="M982" s="2">
        <v>0</v>
      </c>
      <c r="N982" s="9"/>
      <c r="O982" s="2">
        <v>0</v>
      </c>
      <c r="P982" s="9"/>
      <c r="Q982" s="2">
        <f t="shared" si="36"/>
        <v>0</v>
      </c>
      <c r="T982" s="11"/>
    </row>
    <row r="983" spans="1:20" ht="11.85" customHeight="1" x14ac:dyDescent="0.2">
      <c r="A983" s="3" t="s">
        <v>563</v>
      </c>
      <c r="C983" s="2">
        <v>24000</v>
      </c>
      <c r="E983" s="2">
        <v>24000</v>
      </c>
      <c r="G983" s="2">
        <v>24000</v>
      </c>
      <c r="I983" s="2">
        <v>24000</v>
      </c>
      <c r="K983" s="2">
        <v>24000</v>
      </c>
      <c r="L983" s="9"/>
      <c r="M983" s="2">
        <v>0</v>
      </c>
      <c r="N983" s="9"/>
      <c r="O983" s="2">
        <v>24000</v>
      </c>
      <c r="P983" s="9"/>
      <c r="Q983" s="2">
        <f>M983+O983</f>
        <v>24000</v>
      </c>
      <c r="T983" s="11"/>
    </row>
    <row r="984" spans="1:20" ht="11.85" customHeight="1" x14ac:dyDescent="0.2">
      <c r="A984" s="3" t="s">
        <v>564</v>
      </c>
      <c r="C984" s="2">
        <v>7128</v>
      </c>
      <c r="E984" s="2">
        <v>4752</v>
      </c>
      <c r="G984" s="2">
        <v>4752</v>
      </c>
      <c r="I984" s="2">
        <v>4000</v>
      </c>
      <c r="K984" s="2">
        <v>4000</v>
      </c>
      <c r="L984" s="9"/>
      <c r="M984" s="2">
        <v>5000</v>
      </c>
      <c r="N984" s="9"/>
      <c r="O984" s="2">
        <v>0</v>
      </c>
      <c r="P984" s="9"/>
      <c r="Q984" s="2">
        <f t="shared" si="36"/>
        <v>5000</v>
      </c>
      <c r="T984" s="11"/>
    </row>
    <row r="985" spans="1:20" ht="11.85" customHeight="1" x14ac:dyDescent="0.2">
      <c r="A985" s="3" t="s">
        <v>565</v>
      </c>
      <c r="C985" s="2">
        <v>2850.25</v>
      </c>
      <c r="E985" s="2">
        <v>2607.0500000000002</v>
      </c>
      <c r="G985" s="2">
        <v>2432.8000000000002</v>
      </c>
      <c r="I985" s="2">
        <v>3550</v>
      </c>
      <c r="K985" s="2">
        <v>3550</v>
      </c>
      <c r="L985" s="9"/>
      <c r="M985" s="2">
        <v>3550</v>
      </c>
      <c r="N985" s="9"/>
      <c r="O985" s="2">
        <v>0</v>
      </c>
      <c r="P985" s="9"/>
      <c r="Q985" s="2">
        <f t="shared" si="36"/>
        <v>3550</v>
      </c>
      <c r="T985" s="11"/>
    </row>
    <row r="986" spans="1:20" ht="11.85" customHeight="1" x14ac:dyDescent="0.2">
      <c r="A986" s="3" t="s">
        <v>566</v>
      </c>
      <c r="C986" s="2">
        <v>0</v>
      </c>
      <c r="E986" s="2">
        <v>0</v>
      </c>
      <c r="G986" s="2">
        <v>3557.1</v>
      </c>
      <c r="I986" s="2">
        <v>1600</v>
      </c>
      <c r="K986" s="2">
        <v>1600</v>
      </c>
      <c r="L986" s="9"/>
      <c r="M986" s="2">
        <v>0</v>
      </c>
      <c r="N986" s="9"/>
      <c r="O986" s="2">
        <v>0</v>
      </c>
      <c r="P986" s="9"/>
      <c r="Q986" s="2">
        <f t="shared" si="36"/>
        <v>0</v>
      </c>
      <c r="T986" s="11"/>
    </row>
    <row r="987" spans="1:20" ht="11.85" customHeight="1" x14ac:dyDescent="0.2">
      <c r="A987" s="3" t="s">
        <v>567</v>
      </c>
      <c r="C987" s="12">
        <v>0</v>
      </c>
      <c r="E987" s="12">
        <v>0</v>
      </c>
      <c r="G987" s="12">
        <v>0</v>
      </c>
      <c r="I987" s="12">
        <v>900</v>
      </c>
      <c r="K987" s="12">
        <v>900</v>
      </c>
      <c r="L987" s="9"/>
      <c r="M987" s="12">
        <v>900</v>
      </c>
      <c r="N987" s="9"/>
      <c r="O987" s="12">
        <v>0</v>
      </c>
      <c r="P987" s="9"/>
      <c r="Q987" s="12">
        <f t="shared" si="36"/>
        <v>900</v>
      </c>
      <c r="T987" s="11"/>
    </row>
    <row r="988" spans="1:20" ht="11.85" customHeight="1" x14ac:dyDescent="0.2">
      <c r="A988" s="3" t="s">
        <v>304</v>
      </c>
      <c r="C988" s="2">
        <f>SUM(C972:C987)</f>
        <v>69759.45</v>
      </c>
      <c r="E988" s="2">
        <f>SUM(E972:E987)</f>
        <v>71279.320000000007</v>
      </c>
      <c r="G988" s="2">
        <f>SUM(G972:G987)</f>
        <v>75990.990000000005</v>
      </c>
      <c r="I988" s="2">
        <f>SUM(I972:I987)</f>
        <v>78850</v>
      </c>
      <c r="K988" s="2">
        <f>SUM(K972:K987)</f>
        <v>78850</v>
      </c>
      <c r="L988" s="9"/>
      <c r="M988" s="2">
        <f>SUM(M972:M987)</f>
        <v>56050</v>
      </c>
      <c r="N988" s="9"/>
      <c r="O988" s="2">
        <f>SUM(O972:O987)</f>
        <v>24000</v>
      </c>
      <c r="P988" s="9"/>
      <c r="Q988" s="2">
        <f>SUM(Q972:Q987)</f>
        <v>80050</v>
      </c>
    </row>
    <row r="989" spans="1:20" ht="11.85" customHeight="1" x14ac:dyDescent="0.2"/>
    <row r="990" spans="1:20" ht="11.85" customHeight="1" x14ac:dyDescent="0.2">
      <c r="A990" s="10" t="s">
        <v>305</v>
      </c>
    </row>
    <row r="991" spans="1:20" ht="11.85" customHeight="1" x14ac:dyDescent="0.2">
      <c r="A991" s="3" t="s">
        <v>568</v>
      </c>
      <c r="C991" s="2">
        <v>100.91</v>
      </c>
      <c r="E991" s="2">
        <v>595.1</v>
      </c>
      <c r="G991" s="2">
        <v>4341.9399999999996</v>
      </c>
      <c r="I991" s="2">
        <v>1500</v>
      </c>
      <c r="K991" s="2">
        <v>1500</v>
      </c>
      <c r="L991" s="9"/>
      <c r="M991" s="2">
        <v>1500</v>
      </c>
      <c r="N991" s="9"/>
      <c r="O991" s="2">
        <v>0</v>
      </c>
      <c r="P991" s="9"/>
      <c r="Q991" s="2">
        <f t="shared" ref="Q991:Q1007" si="37">M991+O991</f>
        <v>1500</v>
      </c>
      <c r="T991" s="11"/>
    </row>
    <row r="992" spans="1:20" ht="11.85" customHeight="1" x14ac:dyDescent="0.2">
      <c r="A992" s="3" t="s">
        <v>569</v>
      </c>
      <c r="C992" s="2">
        <v>7944.15</v>
      </c>
      <c r="E992" s="2">
        <v>6613.05</v>
      </c>
      <c r="G992" s="2">
        <v>2941.42</v>
      </c>
      <c r="I992" s="2">
        <v>7900</v>
      </c>
      <c r="K992" s="2">
        <v>7900</v>
      </c>
      <c r="L992" s="9"/>
      <c r="M992" s="2">
        <v>8900</v>
      </c>
      <c r="N992" s="9"/>
      <c r="O992" s="2">
        <v>0</v>
      </c>
      <c r="P992" s="9"/>
      <c r="Q992" s="2">
        <f t="shared" si="37"/>
        <v>8900</v>
      </c>
      <c r="T992" s="11"/>
    </row>
    <row r="993" spans="1:21" ht="11.85" customHeight="1" x14ac:dyDescent="0.2">
      <c r="A993" s="3" t="s">
        <v>570</v>
      </c>
      <c r="C993" s="2">
        <v>6788.12</v>
      </c>
      <c r="E993" s="2">
        <v>3216.03</v>
      </c>
      <c r="G993" s="2">
        <v>4341.03</v>
      </c>
      <c r="I993" s="2">
        <v>5550</v>
      </c>
      <c r="K993" s="2">
        <v>5550</v>
      </c>
      <c r="L993" s="9"/>
      <c r="M993" s="2">
        <v>5550</v>
      </c>
      <c r="N993" s="9"/>
      <c r="O993" s="2">
        <v>0</v>
      </c>
      <c r="P993" s="9"/>
      <c r="Q993" s="2">
        <f t="shared" si="37"/>
        <v>5550</v>
      </c>
      <c r="S993" s="18"/>
      <c r="T993" s="11"/>
      <c r="U993" s="2"/>
    </row>
    <row r="994" spans="1:21" ht="11.85" customHeight="1" x14ac:dyDescent="0.2">
      <c r="A994" s="3" t="s">
        <v>571</v>
      </c>
      <c r="C994" s="2">
        <v>12575.51</v>
      </c>
      <c r="E994" s="2">
        <v>19340.849999999999</v>
      </c>
      <c r="G994" s="2">
        <v>7299.68</v>
      </c>
      <c r="I994" s="2">
        <v>15000</v>
      </c>
      <c r="K994" s="2">
        <v>15000</v>
      </c>
      <c r="L994" s="9"/>
      <c r="M994" s="2">
        <v>15000</v>
      </c>
      <c r="N994" s="9"/>
      <c r="O994" s="2">
        <v>0</v>
      </c>
      <c r="P994" s="9"/>
      <c r="Q994" s="2">
        <f t="shared" si="37"/>
        <v>15000</v>
      </c>
      <c r="T994" s="11"/>
    </row>
    <row r="995" spans="1:21" ht="11.85" customHeight="1" x14ac:dyDescent="0.2">
      <c r="A995" s="3" t="s">
        <v>572</v>
      </c>
      <c r="C995" s="2">
        <v>6196.84</v>
      </c>
      <c r="E995" s="2">
        <v>4769.0200000000004</v>
      </c>
      <c r="G995" s="2">
        <v>5366.28</v>
      </c>
      <c r="I995" s="2">
        <v>10000</v>
      </c>
      <c r="K995" s="2">
        <v>10000</v>
      </c>
      <c r="L995" s="9"/>
      <c r="M995" s="2">
        <v>10000</v>
      </c>
      <c r="N995" s="9"/>
      <c r="O995" s="2">
        <v>0</v>
      </c>
      <c r="P995" s="9"/>
      <c r="Q995" s="2">
        <f t="shared" si="37"/>
        <v>10000</v>
      </c>
      <c r="T995" s="11"/>
    </row>
    <row r="996" spans="1:21" ht="11.85" customHeight="1" x14ac:dyDescent="0.2">
      <c r="A996" s="3" t="s">
        <v>573</v>
      </c>
      <c r="C996" s="2">
        <v>1250</v>
      </c>
      <c r="E996" s="2">
        <v>93.03</v>
      </c>
      <c r="G996" s="2">
        <v>0</v>
      </c>
      <c r="I996" s="2">
        <v>5000</v>
      </c>
      <c r="K996" s="2">
        <v>5000</v>
      </c>
      <c r="L996" s="9"/>
      <c r="M996" s="2">
        <v>5000</v>
      </c>
      <c r="N996" s="9"/>
      <c r="O996" s="2">
        <v>0</v>
      </c>
      <c r="P996" s="9"/>
      <c r="Q996" s="2">
        <f t="shared" si="37"/>
        <v>5000</v>
      </c>
      <c r="T996" s="11"/>
    </row>
    <row r="997" spans="1:21" ht="11.85" customHeight="1" x14ac:dyDescent="0.2">
      <c r="A997" s="3" t="s">
        <v>574</v>
      </c>
      <c r="C997" s="2">
        <v>4192.59</v>
      </c>
      <c r="E997" s="2">
        <v>5576.49</v>
      </c>
      <c r="G997" s="2">
        <v>5437.15</v>
      </c>
      <c r="I997" s="2">
        <v>4900</v>
      </c>
      <c r="K997" s="2">
        <v>4900</v>
      </c>
      <c r="L997" s="9"/>
      <c r="M997" s="2">
        <v>4900</v>
      </c>
      <c r="N997" s="9"/>
      <c r="O997" s="2">
        <v>0</v>
      </c>
      <c r="P997" s="9"/>
      <c r="Q997" s="2">
        <f t="shared" si="37"/>
        <v>4900</v>
      </c>
      <c r="T997" s="11"/>
    </row>
    <row r="998" spans="1:21" ht="11.85" customHeight="1" x14ac:dyDescent="0.2">
      <c r="A998" s="3" t="s">
        <v>575</v>
      </c>
      <c r="C998" s="2">
        <v>1297.57</v>
      </c>
      <c r="E998" s="2">
        <v>1266.8699999999999</v>
      </c>
      <c r="G998" s="2">
        <v>898.23</v>
      </c>
      <c r="I998" s="2">
        <v>1500</v>
      </c>
      <c r="K998" s="2">
        <v>1500</v>
      </c>
      <c r="L998" s="9"/>
      <c r="M998" s="2">
        <v>1500</v>
      </c>
      <c r="N998" s="9"/>
      <c r="O998" s="2">
        <v>0</v>
      </c>
      <c r="P998" s="9"/>
      <c r="Q998" s="2">
        <f t="shared" si="37"/>
        <v>1500</v>
      </c>
      <c r="T998" s="11"/>
    </row>
    <row r="999" spans="1:21" ht="11.85" customHeight="1" x14ac:dyDescent="0.2">
      <c r="A999" s="3" t="s">
        <v>576</v>
      </c>
      <c r="C999" s="2">
        <v>1358.33</v>
      </c>
      <c r="E999" s="2">
        <v>2163.14</v>
      </c>
      <c r="G999" s="2">
        <v>1745.54</v>
      </c>
      <c r="I999" s="2">
        <v>6000</v>
      </c>
      <c r="K999" s="2">
        <v>6000</v>
      </c>
      <c r="L999" s="9"/>
      <c r="M999" s="2">
        <v>6000</v>
      </c>
      <c r="N999" s="9"/>
      <c r="O999" s="2">
        <v>0</v>
      </c>
      <c r="P999" s="9"/>
      <c r="Q999" s="2">
        <f t="shared" si="37"/>
        <v>6000</v>
      </c>
      <c r="T999" s="11"/>
    </row>
    <row r="1000" spans="1:21" ht="11.85" hidden="1" customHeight="1" x14ac:dyDescent="0.2">
      <c r="A1000" s="3" t="s">
        <v>577</v>
      </c>
      <c r="C1000" s="2">
        <v>0</v>
      </c>
      <c r="E1000" s="2">
        <v>0</v>
      </c>
      <c r="G1000" s="2">
        <v>0</v>
      </c>
      <c r="I1000" s="2">
        <v>0</v>
      </c>
      <c r="K1000" s="2">
        <v>0</v>
      </c>
      <c r="L1000" s="9"/>
      <c r="M1000" s="2">
        <v>0</v>
      </c>
      <c r="N1000" s="9"/>
      <c r="O1000" s="2">
        <v>0</v>
      </c>
      <c r="P1000" s="9"/>
      <c r="Q1000" s="2">
        <f t="shared" si="37"/>
        <v>0</v>
      </c>
      <c r="T1000" s="11"/>
    </row>
    <row r="1001" spans="1:21" ht="11.85" customHeight="1" x14ac:dyDescent="0.2">
      <c r="A1001" s="3" t="s">
        <v>578</v>
      </c>
      <c r="C1001" s="2">
        <v>13970.15</v>
      </c>
      <c r="E1001" s="2">
        <v>0</v>
      </c>
      <c r="G1001" s="2">
        <v>0</v>
      </c>
      <c r="I1001" s="2">
        <v>0</v>
      </c>
      <c r="K1001" s="2">
        <v>0</v>
      </c>
      <c r="L1001" s="9"/>
      <c r="M1001" s="2">
        <v>0</v>
      </c>
      <c r="N1001" s="9"/>
      <c r="O1001" s="2">
        <v>0</v>
      </c>
      <c r="P1001" s="9"/>
      <c r="Q1001" s="2">
        <f t="shared" si="37"/>
        <v>0</v>
      </c>
      <c r="T1001" s="11"/>
    </row>
    <row r="1002" spans="1:21" ht="11.85" customHeight="1" x14ac:dyDescent="0.2">
      <c r="A1002" s="3" t="s">
        <v>579</v>
      </c>
      <c r="C1002" s="2">
        <v>2871.37</v>
      </c>
      <c r="E1002" s="2">
        <v>3113.55</v>
      </c>
      <c r="G1002" s="2">
        <v>2926.81</v>
      </c>
      <c r="I1002" s="2">
        <v>4000</v>
      </c>
      <c r="K1002" s="2">
        <v>4000</v>
      </c>
      <c r="L1002" s="9"/>
      <c r="M1002" s="2">
        <v>3000</v>
      </c>
      <c r="N1002" s="9"/>
      <c r="O1002" s="2">
        <v>0</v>
      </c>
      <c r="P1002" s="9"/>
      <c r="Q1002" s="2">
        <f t="shared" si="37"/>
        <v>3000</v>
      </c>
      <c r="T1002" s="11"/>
    </row>
    <row r="1003" spans="1:21" ht="11.85" customHeight="1" x14ac:dyDescent="0.2">
      <c r="A1003" s="3" t="s">
        <v>580</v>
      </c>
      <c r="C1003" s="2">
        <v>40</v>
      </c>
      <c r="E1003" s="2">
        <v>0</v>
      </c>
      <c r="G1003" s="2">
        <v>0</v>
      </c>
      <c r="I1003" s="2">
        <v>1000</v>
      </c>
      <c r="K1003" s="2">
        <v>1000</v>
      </c>
      <c r="L1003" s="9"/>
      <c r="M1003" s="2">
        <v>1000</v>
      </c>
      <c r="N1003" s="9"/>
      <c r="O1003" s="2">
        <v>0</v>
      </c>
      <c r="P1003" s="9"/>
      <c r="Q1003" s="2">
        <f t="shared" si="37"/>
        <v>1000</v>
      </c>
      <c r="T1003" s="11"/>
    </row>
    <row r="1004" spans="1:21" ht="11.85" hidden="1" customHeight="1" x14ac:dyDescent="0.2">
      <c r="A1004" s="3" t="s">
        <v>581</v>
      </c>
      <c r="C1004" s="2">
        <v>0</v>
      </c>
      <c r="E1004" s="2">
        <v>0</v>
      </c>
      <c r="G1004" s="2">
        <v>0</v>
      </c>
      <c r="I1004" s="2">
        <v>0</v>
      </c>
      <c r="K1004" s="2">
        <v>0</v>
      </c>
      <c r="L1004" s="9"/>
      <c r="M1004" s="2">
        <v>0</v>
      </c>
      <c r="N1004" s="9"/>
      <c r="O1004" s="2">
        <v>0</v>
      </c>
      <c r="P1004" s="9"/>
      <c r="Q1004" s="2">
        <f t="shared" si="37"/>
        <v>0</v>
      </c>
      <c r="T1004" s="11"/>
    </row>
    <row r="1005" spans="1:21" ht="11.85" customHeight="1" x14ac:dyDescent="0.2">
      <c r="A1005" s="3" t="s">
        <v>582</v>
      </c>
      <c r="C1005" s="2">
        <v>0</v>
      </c>
      <c r="E1005" s="2">
        <v>0</v>
      </c>
      <c r="G1005" s="2">
        <v>0</v>
      </c>
      <c r="I1005" s="2">
        <v>1400</v>
      </c>
      <c r="K1005" s="2">
        <v>1400</v>
      </c>
      <c r="L1005" s="9"/>
      <c r="M1005" s="2">
        <v>0</v>
      </c>
      <c r="N1005" s="9"/>
      <c r="O1005" s="2">
        <v>0</v>
      </c>
      <c r="P1005" s="9"/>
      <c r="Q1005" s="2">
        <f t="shared" si="37"/>
        <v>0</v>
      </c>
      <c r="T1005" s="11"/>
    </row>
    <row r="1006" spans="1:21" ht="11.85" customHeight="1" x14ac:dyDescent="0.2">
      <c r="A1006" s="3" t="s">
        <v>583</v>
      </c>
      <c r="C1006" s="2">
        <v>51764.07</v>
      </c>
      <c r="E1006" s="2">
        <v>11263.97</v>
      </c>
      <c r="G1006" s="2">
        <v>16288.12</v>
      </c>
      <c r="I1006" s="2">
        <v>15000</v>
      </c>
      <c r="K1006" s="2">
        <v>15000</v>
      </c>
      <c r="L1006" s="9"/>
      <c r="M1006" s="2">
        <v>15000</v>
      </c>
      <c r="N1006" s="9"/>
      <c r="O1006" s="2">
        <v>0</v>
      </c>
      <c r="P1006" s="9"/>
      <c r="Q1006" s="2">
        <f t="shared" si="37"/>
        <v>15000</v>
      </c>
      <c r="S1006" s="18"/>
      <c r="T1006" s="11"/>
      <c r="U1006" s="2"/>
    </row>
    <row r="1007" spans="1:21" ht="11.85" customHeight="1" x14ac:dyDescent="0.2">
      <c r="A1007" s="3" t="s">
        <v>584</v>
      </c>
      <c r="C1007" s="2">
        <v>2092.66</v>
      </c>
      <c r="E1007" s="2">
        <v>2295.9</v>
      </c>
      <c r="G1007" s="2">
        <v>12</v>
      </c>
      <c r="I1007" s="2">
        <v>6000</v>
      </c>
      <c r="K1007" s="2">
        <v>6000</v>
      </c>
      <c r="L1007" s="9"/>
      <c r="M1007" s="2">
        <v>6000</v>
      </c>
      <c r="N1007" s="9"/>
      <c r="O1007" s="2">
        <v>0</v>
      </c>
      <c r="P1007" s="9"/>
      <c r="Q1007" s="2">
        <f t="shared" si="37"/>
        <v>6000</v>
      </c>
      <c r="T1007" s="11"/>
    </row>
    <row r="1008" spans="1:21" ht="11.85" customHeight="1" x14ac:dyDescent="0.2"/>
    <row r="1009" spans="1:22" ht="11.85" customHeight="1" x14ac:dyDescent="0.2"/>
    <row r="1010" spans="1:22" ht="11.85" customHeight="1" x14ac:dyDescent="0.2"/>
    <row r="1011" spans="1:22" ht="11.85" customHeight="1" x14ac:dyDescent="0.2">
      <c r="V1011" s="9"/>
    </row>
    <row r="1012" spans="1:22" ht="11.85" customHeight="1" x14ac:dyDescent="0.2"/>
    <row r="1013" spans="1:22" ht="10.5" customHeight="1" x14ac:dyDescent="0.2"/>
    <row r="1014" spans="1:22" ht="11.85" customHeight="1" x14ac:dyDescent="0.2"/>
    <row r="1015" spans="1:22" ht="11.85" customHeight="1" x14ac:dyDescent="0.2">
      <c r="A1015" s="1"/>
      <c r="B1015" s="1"/>
      <c r="E1015" s="2" t="str">
        <f>$E$1</f>
        <v>CITY OF BRADY</v>
      </c>
    </row>
    <row r="1016" spans="1:22" ht="11.85" customHeight="1" x14ac:dyDescent="0.2">
      <c r="E1016" s="2" t="str">
        <f>$E$2</f>
        <v>BUDGET REPORT</v>
      </c>
    </row>
    <row r="1017" spans="1:22" ht="11.85" customHeight="1" x14ac:dyDescent="0.2">
      <c r="E1017" s="2" t="str">
        <f>$E$3</f>
        <v>FISCAL YEAR 2024 - 2025</v>
      </c>
    </row>
    <row r="1018" spans="1:22" ht="11.85" customHeight="1" x14ac:dyDescent="0.2">
      <c r="A1018" s="3" t="s">
        <v>3</v>
      </c>
    </row>
    <row r="1019" spans="1:22" ht="11.85" customHeight="1" x14ac:dyDescent="0.2">
      <c r="A1019" s="3" t="s">
        <v>542</v>
      </c>
    </row>
    <row r="1020" spans="1:22" ht="11.85" customHeight="1" x14ac:dyDescent="0.2">
      <c r="I1020" s="53" t="str">
        <f>$I$6</f>
        <v>(----- 2023-2024------)</v>
      </c>
      <c r="J1020" s="53"/>
      <c r="K1020" s="53"/>
      <c r="L1020" s="6"/>
      <c r="M1020" s="54" t="str">
        <f>$M$6</f>
        <v>2024-2025</v>
      </c>
      <c r="N1020" s="54"/>
      <c r="O1020" s="54"/>
      <c r="P1020" s="54"/>
      <c r="Q1020" s="54"/>
    </row>
    <row r="1021" spans="1:22" ht="11.85" customHeight="1" x14ac:dyDescent="0.2">
      <c r="C1021" s="5" t="str">
        <f>$C$7</f>
        <v>2020-2021</v>
      </c>
      <c r="D1021" s="5"/>
      <c r="E1021" s="5" t="str">
        <f>$E$7</f>
        <v>2021-2022</v>
      </c>
      <c r="F1021" s="5"/>
      <c r="G1021" s="5" t="str">
        <f>$G$7</f>
        <v>2022-2023</v>
      </c>
      <c r="H1021" s="5"/>
      <c r="I1021" s="5" t="s">
        <v>9</v>
      </c>
      <c r="J1021" s="5"/>
      <c r="K1021" s="5" t="str">
        <f>+$K$7</f>
        <v>PROJECTED</v>
      </c>
      <c r="L1021" s="6"/>
      <c r="M1021" s="5">
        <f>$M$7</f>
        <v>0</v>
      </c>
      <c r="N1021" s="6"/>
      <c r="O1021" s="5" t="str">
        <f>$O$7</f>
        <v>2024-2025</v>
      </c>
      <c r="P1021" s="6"/>
      <c r="Q1021" s="5" t="str">
        <f>$Q$7</f>
        <v>APPROVED</v>
      </c>
    </row>
    <row r="1022" spans="1:22" ht="11.85" customHeight="1" x14ac:dyDescent="0.2">
      <c r="A1022" s="7" t="s">
        <v>273</v>
      </c>
      <c r="C1022" s="8" t="s">
        <v>12</v>
      </c>
      <c r="D1022" s="5"/>
      <c r="E1022" s="8" t="s">
        <v>12</v>
      </c>
      <c r="F1022" s="5"/>
      <c r="G1022" s="8" t="s">
        <v>12</v>
      </c>
      <c r="H1022" s="5"/>
      <c r="I1022" s="8" t="s">
        <v>13</v>
      </c>
      <c r="J1022" s="5"/>
      <c r="K1022" s="8" t="s">
        <v>13</v>
      </c>
      <c r="L1022" s="6"/>
      <c r="M1022" s="8" t="str">
        <f>$M$8</f>
        <v>BASE</v>
      </c>
      <c r="N1022" s="6"/>
      <c r="O1022" s="8" t="str">
        <f>$O$8</f>
        <v>SUPPLEMENTAL</v>
      </c>
      <c r="P1022" s="6"/>
      <c r="Q1022" s="8" t="str">
        <f>$Q$8</f>
        <v>BUDGET</v>
      </c>
    </row>
    <row r="1023" spans="1:22" ht="11.85" customHeight="1" x14ac:dyDescent="0.2"/>
    <row r="1024" spans="1:22" ht="11.85" hidden="1" customHeight="1" x14ac:dyDescent="0.2">
      <c r="A1024" s="3" t="s">
        <v>585</v>
      </c>
      <c r="C1024" s="2">
        <v>0</v>
      </c>
      <c r="E1024" s="2">
        <v>0</v>
      </c>
      <c r="G1024" s="2">
        <v>0</v>
      </c>
      <c r="I1024" s="2">
        <v>0</v>
      </c>
      <c r="K1024" s="2">
        <v>0</v>
      </c>
      <c r="L1024" s="9"/>
      <c r="M1024" s="2">
        <v>0</v>
      </c>
      <c r="N1024" s="9"/>
      <c r="O1024" s="2">
        <v>0</v>
      </c>
      <c r="P1024" s="9"/>
      <c r="Q1024" s="2">
        <f>M1024+O1024</f>
        <v>0</v>
      </c>
      <c r="T1024" s="11"/>
    </row>
    <row r="1025" spans="1:20" ht="11.85" customHeight="1" x14ac:dyDescent="0.2">
      <c r="A1025" s="3" t="s">
        <v>586</v>
      </c>
      <c r="C1025" s="2">
        <v>7500.72</v>
      </c>
      <c r="E1025" s="2">
        <v>7408.21</v>
      </c>
      <c r="G1025" s="2">
        <v>8022.39</v>
      </c>
      <c r="I1025" s="2">
        <v>7300</v>
      </c>
      <c r="K1025" s="2">
        <v>7300</v>
      </c>
      <c r="L1025" s="9"/>
      <c r="M1025" s="2">
        <v>7300</v>
      </c>
      <c r="N1025" s="9"/>
      <c r="O1025" s="2">
        <v>0</v>
      </c>
      <c r="P1025" s="9"/>
      <c r="Q1025" s="2">
        <f>M1025+O1025</f>
        <v>7300</v>
      </c>
      <c r="T1025" s="11"/>
    </row>
    <row r="1026" spans="1:20" ht="11.85" customHeight="1" x14ac:dyDescent="0.2">
      <c r="A1026" s="3" t="s">
        <v>587</v>
      </c>
      <c r="C1026" s="12">
        <v>33240.480000000003</v>
      </c>
      <c r="E1026" s="12">
        <v>38668.28</v>
      </c>
      <c r="G1026" s="12">
        <v>44605.2</v>
      </c>
      <c r="I1026" s="12">
        <v>49000</v>
      </c>
      <c r="K1026" s="12">
        <v>49000</v>
      </c>
      <c r="L1026" s="9"/>
      <c r="M1026" s="12">
        <v>5800</v>
      </c>
      <c r="N1026" s="9"/>
      <c r="O1026" s="12">
        <v>0</v>
      </c>
      <c r="P1026" s="9"/>
      <c r="Q1026" s="12">
        <f>M1026+O1026</f>
        <v>5800</v>
      </c>
      <c r="T1026" s="11"/>
    </row>
    <row r="1027" spans="1:20" ht="11.85" customHeight="1" x14ac:dyDescent="0.2">
      <c r="A1027" s="3" t="s">
        <v>328</v>
      </c>
      <c r="C1027" s="2">
        <f>SUM(C991:C1026)</f>
        <v>153183.47</v>
      </c>
      <c r="E1027" s="2">
        <f>SUM(E991:E1026)</f>
        <v>106383.49</v>
      </c>
      <c r="G1027" s="2">
        <f>SUM(G991:G1026)</f>
        <v>104225.79000000001</v>
      </c>
      <c r="I1027" s="2">
        <f>SUM(I991:I1026)</f>
        <v>141050</v>
      </c>
      <c r="K1027" s="2">
        <f>SUM(K991:K1026)</f>
        <v>141050</v>
      </c>
      <c r="L1027" s="9"/>
      <c r="M1027" s="2">
        <f>SUM(M991:M1026)</f>
        <v>96450</v>
      </c>
      <c r="N1027" s="9"/>
      <c r="O1027" s="2">
        <f>SUM(O991:O1026)</f>
        <v>0</v>
      </c>
      <c r="P1027" s="9"/>
      <c r="Q1027" s="2">
        <f>SUM(Q991:Q1026)</f>
        <v>96450</v>
      </c>
      <c r="T1027" s="14"/>
    </row>
    <row r="1028" spans="1:20" ht="11.85" customHeight="1" x14ac:dyDescent="0.2">
      <c r="L1028" s="9"/>
      <c r="N1028" s="9"/>
      <c r="P1028" s="9"/>
    </row>
    <row r="1029" spans="1:20" ht="11.85" customHeight="1" x14ac:dyDescent="0.2">
      <c r="A1029" s="3" t="s">
        <v>588</v>
      </c>
      <c r="C1029" s="2">
        <v>470.88</v>
      </c>
      <c r="E1029" s="2">
        <v>0</v>
      </c>
      <c r="G1029" s="2">
        <v>0</v>
      </c>
      <c r="I1029" s="2">
        <v>0</v>
      </c>
      <c r="K1029" s="2">
        <v>0</v>
      </c>
      <c r="L1029" s="9"/>
      <c r="M1029" s="2">
        <v>0</v>
      </c>
      <c r="N1029" s="9"/>
      <c r="O1029" s="2">
        <v>0</v>
      </c>
      <c r="P1029" s="9"/>
      <c r="Q1029" s="2">
        <f>M1029+O1029</f>
        <v>0</v>
      </c>
      <c r="T1029" s="11"/>
    </row>
    <row r="1030" spans="1:20" ht="11.85" customHeight="1" x14ac:dyDescent="0.2">
      <c r="A1030" s="3" t="s">
        <v>589</v>
      </c>
      <c r="C1030" s="12">
        <v>68939</v>
      </c>
      <c r="E1030" s="12">
        <v>43901.43</v>
      </c>
      <c r="G1030" s="12">
        <v>46625.279999999999</v>
      </c>
      <c r="I1030" s="12">
        <v>120500</v>
      </c>
      <c r="K1030" s="12">
        <v>120500</v>
      </c>
      <c r="L1030" s="9"/>
      <c r="M1030" s="12">
        <v>52000</v>
      </c>
      <c r="N1030" s="9"/>
      <c r="O1030" s="12">
        <v>0</v>
      </c>
      <c r="P1030" s="9"/>
      <c r="Q1030" s="12">
        <f>M1030+O1030</f>
        <v>52000</v>
      </c>
      <c r="T1030" s="11"/>
    </row>
    <row r="1031" spans="1:20" ht="11.85" customHeight="1" x14ac:dyDescent="0.2">
      <c r="A1031" s="3" t="s">
        <v>331</v>
      </c>
      <c r="C1031" s="2">
        <f>SUM(C1029:C1030)</f>
        <v>69409.88</v>
      </c>
      <c r="E1031" s="2">
        <f>SUM(E1029:E1030)</f>
        <v>43901.43</v>
      </c>
      <c r="G1031" s="2">
        <f>SUM(G1029:G1030)</f>
        <v>46625.279999999999</v>
      </c>
      <c r="I1031" s="2">
        <f>SUM(I1029:I1030)</f>
        <v>120500</v>
      </c>
      <c r="K1031" s="2">
        <f>SUM(K1029:K1030)</f>
        <v>120500</v>
      </c>
      <c r="L1031" s="9"/>
      <c r="M1031" s="2">
        <f>SUM(M1029:M1030)</f>
        <v>52000</v>
      </c>
      <c r="N1031" s="9"/>
      <c r="O1031" s="2">
        <f>SUM(O1029:O1030)</f>
        <v>0</v>
      </c>
      <c r="P1031" s="9"/>
      <c r="Q1031" s="2">
        <f>SUM(Q1029:Q1030)</f>
        <v>52000</v>
      </c>
    </row>
    <row r="1032" spans="1:20" ht="11.85" customHeight="1" x14ac:dyDescent="0.2"/>
    <row r="1033" spans="1:20" ht="11.85" customHeight="1" x14ac:dyDescent="0.2">
      <c r="A1033" s="3" t="s">
        <v>590</v>
      </c>
      <c r="C1033" s="2">
        <f>C969+C988+C1027+C1031</f>
        <v>499818.56000000006</v>
      </c>
      <c r="E1033" s="2">
        <f>E969+E988+E1027+E1031</f>
        <v>429240.58</v>
      </c>
      <c r="G1033" s="2">
        <f>G969+G988+G1027+G1031</f>
        <v>390200.97000000009</v>
      </c>
      <c r="I1033" s="2">
        <f>I969+I988+I1027+I1031</f>
        <v>577372</v>
      </c>
      <c r="K1033" s="2">
        <f>K969+K988+K1027+K1031</f>
        <v>572958</v>
      </c>
      <c r="L1033" s="9"/>
      <c r="M1033" s="2">
        <f>M969+M988+M1027+M1031</f>
        <v>441910</v>
      </c>
      <c r="N1033" s="9"/>
      <c r="O1033" s="2">
        <f>O969+O988+O1027+O1031</f>
        <v>24000</v>
      </c>
      <c r="P1033" s="9"/>
      <c r="Q1033" s="2">
        <f>Q969+Q988+Q1027+Q1031</f>
        <v>465910</v>
      </c>
      <c r="R1033" s="17"/>
      <c r="T1033" s="11"/>
    </row>
    <row r="1034" spans="1:20" ht="11.85" customHeight="1" x14ac:dyDescent="0.2">
      <c r="L1034" s="9"/>
      <c r="N1034" s="9"/>
      <c r="P1034" s="9"/>
    </row>
    <row r="1035" spans="1:20" ht="11.85" customHeight="1" x14ac:dyDescent="0.2">
      <c r="L1035" s="9"/>
      <c r="N1035" s="9"/>
      <c r="P1035" s="9"/>
    </row>
    <row r="1036" spans="1:20" ht="11.85" customHeight="1" x14ac:dyDescent="0.2">
      <c r="L1036" s="9"/>
      <c r="N1036" s="9"/>
      <c r="P1036" s="9"/>
    </row>
    <row r="1037" spans="1:20" ht="11.85" customHeight="1" x14ac:dyDescent="0.2">
      <c r="L1037" s="9"/>
      <c r="N1037" s="9"/>
      <c r="P1037" s="9"/>
    </row>
    <row r="1038" spans="1:20" ht="11.85" customHeight="1" x14ac:dyDescent="0.2">
      <c r="L1038" s="9"/>
      <c r="N1038" s="9"/>
      <c r="P1038" s="9"/>
    </row>
    <row r="1039" spans="1:20" ht="11.85" customHeight="1" x14ac:dyDescent="0.2">
      <c r="L1039" s="9"/>
      <c r="N1039" s="9"/>
      <c r="P1039" s="9"/>
    </row>
    <row r="1040" spans="1:20" ht="11.85" customHeight="1" x14ac:dyDescent="0.2">
      <c r="L1040" s="9"/>
      <c r="N1040" s="9"/>
      <c r="P1040" s="9"/>
    </row>
    <row r="1041" spans="12:16" ht="11.85" customHeight="1" x14ac:dyDescent="0.2">
      <c r="L1041" s="9"/>
      <c r="N1041" s="9"/>
      <c r="P1041" s="9"/>
    </row>
    <row r="1042" spans="12:16" ht="11.85" customHeight="1" x14ac:dyDescent="0.2"/>
    <row r="1043" spans="12:16" ht="11.85" customHeight="1" x14ac:dyDescent="0.2"/>
    <row r="1044" spans="12:16" ht="11.85" customHeight="1" x14ac:dyDescent="0.2"/>
    <row r="1045" spans="12:16" ht="11.85" customHeight="1" x14ac:dyDescent="0.2"/>
    <row r="1046" spans="12:16" ht="11.85" customHeight="1" x14ac:dyDescent="0.2"/>
    <row r="1047" spans="12:16" ht="11.85" customHeight="1" x14ac:dyDescent="0.2"/>
    <row r="1048" spans="12:16" ht="11.85" customHeight="1" x14ac:dyDescent="0.2"/>
    <row r="1049" spans="12:16" ht="11.85" customHeight="1" x14ac:dyDescent="0.2"/>
    <row r="1050" spans="12:16" ht="11.85" customHeight="1" x14ac:dyDescent="0.2"/>
    <row r="1051" spans="12:16" ht="11.85" customHeight="1" x14ac:dyDescent="0.2"/>
    <row r="1052" spans="12:16" ht="11.85" customHeight="1" x14ac:dyDescent="0.2"/>
    <row r="1053" spans="12:16" ht="11.85" customHeight="1" x14ac:dyDescent="0.2"/>
    <row r="1054" spans="12:16" ht="11.85" customHeight="1" x14ac:dyDescent="0.2"/>
    <row r="1055" spans="12:16" ht="11.85" customHeight="1" x14ac:dyDescent="0.2"/>
    <row r="1056" spans="12:16" ht="11.85" customHeight="1" x14ac:dyDescent="0.2"/>
    <row r="1057" ht="11.85" customHeight="1" x14ac:dyDescent="0.2"/>
    <row r="1058" ht="11.85" customHeight="1" x14ac:dyDescent="0.2"/>
    <row r="1059" ht="11.85" customHeight="1" x14ac:dyDescent="0.2"/>
    <row r="1060" ht="11.85" customHeight="1" x14ac:dyDescent="0.2"/>
    <row r="1061" ht="11.85" customHeight="1" x14ac:dyDescent="0.2"/>
    <row r="1062" ht="11.85" customHeight="1" x14ac:dyDescent="0.2"/>
    <row r="1063" ht="11.85" customHeight="1" x14ac:dyDescent="0.2"/>
    <row r="1064" ht="11.85" customHeight="1" x14ac:dyDescent="0.2"/>
    <row r="1065" ht="11.85" customHeight="1" x14ac:dyDescent="0.2"/>
    <row r="1066" ht="11.85" customHeight="1" x14ac:dyDescent="0.2"/>
    <row r="1067" ht="11.85" customHeight="1" x14ac:dyDescent="0.2"/>
    <row r="1068" ht="11.85" customHeight="1" x14ac:dyDescent="0.2"/>
    <row r="1069" ht="11.85" customHeight="1" x14ac:dyDescent="0.2"/>
    <row r="1070" ht="11.85" customHeight="1" x14ac:dyDescent="0.2"/>
    <row r="1071" ht="11.85" customHeight="1" x14ac:dyDescent="0.2"/>
    <row r="1072" ht="11.85" customHeight="1" x14ac:dyDescent="0.2"/>
    <row r="1073" spans="1:20" ht="11.85" customHeight="1" x14ac:dyDescent="0.2"/>
    <row r="1074" spans="1:20" ht="11.85" customHeight="1" x14ac:dyDescent="0.2"/>
    <row r="1075" spans="1:20" ht="11.85" customHeight="1" x14ac:dyDescent="0.2"/>
    <row r="1076" spans="1:20" ht="11.85" customHeight="1" x14ac:dyDescent="0.2"/>
    <row r="1077" spans="1:20" ht="11.85" customHeight="1" x14ac:dyDescent="0.2"/>
    <row r="1078" spans="1:20" ht="11.85" customHeight="1" x14ac:dyDescent="0.2">
      <c r="A1078" s="1"/>
      <c r="B1078" s="1"/>
      <c r="E1078" s="2" t="str">
        <f>$E$1</f>
        <v>CITY OF BRADY</v>
      </c>
    </row>
    <row r="1079" spans="1:20" ht="11.85" customHeight="1" x14ac:dyDescent="0.2">
      <c r="E1079" s="2" t="str">
        <f>$E$2</f>
        <v>BUDGET REPORT</v>
      </c>
    </row>
    <row r="1080" spans="1:20" ht="11.85" customHeight="1" x14ac:dyDescent="0.2">
      <c r="E1080" s="2" t="str">
        <f>$E$3</f>
        <v>FISCAL YEAR 2024 - 2025</v>
      </c>
    </row>
    <row r="1081" spans="1:20" ht="11.85" customHeight="1" x14ac:dyDescent="0.2">
      <c r="A1081" s="3" t="s">
        <v>3</v>
      </c>
    </row>
    <row r="1082" spans="1:20" ht="11.85" customHeight="1" x14ac:dyDescent="0.2">
      <c r="A1082" s="3" t="s">
        <v>591</v>
      </c>
    </row>
    <row r="1083" spans="1:20" ht="11.85" customHeight="1" x14ac:dyDescent="0.2">
      <c r="I1083" s="53" t="str">
        <f>$I$6</f>
        <v>(----- 2023-2024------)</v>
      </c>
      <c r="J1083" s="53"/>
      <c r="K1083" s="53"/>
      <c r="L1083" s="6"/>
      <c r="M1083" s="54" t="str">
        <f>$M$6</f>
        <v>2024-2025</v>
      </c>
      <c r="N1083" s="54"/>
      <c r="O1083" s="54"/>
      <c r="P1083" s="54"/>
      <c r="Q1083" s="54"/>
    </row>
    <row r="1084" spans="1:20" ht="11.85" customHeight="1" x14ac:dyDescent="0.2">
      <c r="C1084" s="5" t="str">
        <f>$C$7</f>
        <v>2020-2021</v>
      </c>
      <c r="D1084" s="5"/>
      <c r="E1084" s="5" t="str">
        <f>$E$7</f>
        <v>2021-2022</v>
      </c>
      <c r="F1084" s="5"/>
      <c r="G1084" s="5" t="str">
        <f>$G$7</f>
        <v>2022-2023</v>
      </c>
      <c r="H1084" s="5"/>
      <c r="I1084" s="5" t="s">
        <v>9</v>
      </c>
      <c r="J1084" s="5"/>
      <c r="K1084" s="5" t="str">
        <f>+$K$7</f>
        <v>PROJECTED</v>
      </c>
      <c r="L1084" s="6"/>
      <c r="M1084" s="5">
        <f>$M$7</f>
        <v>0</v>
      </c>
      <c r="N1084" s="6"/>
      <c r="O1084" s="5" t="str">
        <f>$O$7</f>
        <v>2024-2025</v>
      </c>
      <c r="P1084" s="6"/>
      <c r="Q1084" s="5" t="str">
        <f>$Q$7</f>
        <v>APPROVED</v>
      </c>
    </row>
    <row r="1085" spans="1:20" ht="11.85" customHeight="1" x14ac:dyDescent="0.2">
      <c r="A1085" s="7" t="s">
        <v>273</v>
      </c>
      <c r="C1085" s="8" t="s">
        <v>12</v>
      </c>
      <c r="D1085" s="5"/>
      <c r="E1085" s="8" t="s">
        <v>12</v>
      </c>
      <c r="F1085" s="5"/>
      <c r="G1085" s="8" t="s">
        <v>12</v>
      </c>
      <c r="H1085" s="5"/>
      <c r="I1085" s="8" t="s">
        <v>13</v>
      </c>
      <c r="J1085" s="5"/>
      <c r="K1085" s="8" t="s">
        <v>13</v>
      </c>
      <c r="L1085" s="6"/>
      <c r="M1085" s="8" t="str">
        <f>$M$8</f>
        <v>BASE</v>
      </c>
      <c r="N1085" s="6"/>
      <c r="O1085" s="8" t="str">
        <f>$O$8</f>
        <v>SUPPLEMENTAL</v>
      </c>
      <c r="P1085" s="6"/>
      <c r="Q1085" s="8" t="str">
        <f>$Q$8</f>
        <v>BUDGET</v>
      </c>
    </row>
    <row r="1086" spans="1:20" ht="11.85" customHeight="1" x14ac:dyDescent="0.2"/>
    <row r="1087" spans="1:20" ht="11.85" customHeight="1" x14ac:dyDescent="0.2">
      <c r="A1087" s="10" t="s">
        <v>274</v>
      </c>
    </row>
    <row r="1088" spans="1:20" ht="11.85" customHeight="1" x14ac:dyDescent="0.2">
      <c r="A1088" s="3" t="s">
        <v>592</v>
      </c>
      <c r="C1088" s="2">
        <v>713549.26</v>
      </c>
      <c r="E1088" s="2">
        <v>722351.36</v>
      </c>
      <c r="G1088" s="2">
        <v>719475.09</v>
      </c>
      <c r="I1088" s="2">
        <v>763874</v>
      </c>
      <c r="K1088" s="2">
        <f>763874-16300-4000</f>
        <v>743574</v>
      </c>
      <c r="L1088" s="9"/>
      <c r="M1088" s="2">
        <v>778102</v>
      </c>
      <c r="N1088" s="9"/>
      <c r="O1088" s="2">
        <v>0</v>
      </c>
      <c r="P1088" s="9"/>
      <c r="Q1088" s="2">
        <f t="shared" ref="Q1088:Q1096" si="38">M1088+O1088</f>
        <v>778102</v>
      </c>
      <c r="T1088" s="11"/>
    </row>
    <row r="1089" spans="1:33" ht="11.85" customHeight="1" x14ac:dyDescent="0.2">
      <c r="A1089" s="3" t="s">
        <v>593</v>
      </c>
      <c r="C1089" s="2">
        <v>8119.07</v>
      </c>
      <c r="E1089" s="2">
        <v>7640.48</v>
      </c>
      <c r="G1089" s="2">
        <v>19170.77</v>
      </c>
      <c r="I1089" s="2">
        <v>16000</v>
      </c>
      <c r="K1089" s="2">
        <f>16000+4000</f>
        <v>20000</v>
      </c>
      <c r="L1089" s="9"/>
      <c r="M1089" s="2">
        <v>20000</v>
      </c>
      <c r="N1089" s="9"/>
      <c r="O1089" s="2">
        <v>0</v>
      </c>
      <c r="P1089" s="9"/>
      <c r="Q1089" s="2">
        <f t="shared" si="38"/>
        <v>20000</v>
      </c>
      <c r="T1089" s="11"/>
    </row>
    <row r="1090" spans="1:33" ht="11.85" customHeight="1" x14ac:dyDescent="0.2">
      <c r="A1090" s="3" t="s">
        <v>594</v>
      </c>
      <c r="C1090" s="2">
        <v>10125</v>
      </c>
      <c r="E1090" s="2">
        <v>11850</v>
      </c>
      <c r="G1090" s="2">
        <v>12300</v>
      </c>
      <c r="I1090" s="2">
        <v>15600</v>
      </c>
      <c r="K1090" s="2">
        <v>15600</v>
      </c>
      <c r="L1090" s="9"/>
      <c r="M1090" s="2">
        <v>15500</v>
      </c>
      <c r="N1090" s="9"/>
      <c r="O1090" s="2">
        <v>0</v>
      </c>
      <c r="P1090" s="9"/>
      <c r="Q1090" s="2">
        <f t="shared" si="38"/>
        <v>15500</v>
      </c>
      <c r="T1090" s="11"/>
    </row>
    <row r="1091" spans="1:33" ht="11.85" customHeight="1" x14ac:dyDescent="0.2">
      <c r="A1091" s="3" t="s">
        <v>595</v>
      </c>
      <c r="C1091" s="2">
        <v>2320</v>
      </c>
      <c r="E1091" s="2">
        <v>2790</v>
      </c>
      <c r="G1091" s="2">
        <v>3550</v>
      </c>
      <c r="I1091" s="2">
        <v>10940</v>
      </c>
      <c r="K1091" s="2">
        <v>10940</v>
      </c>
      <c r="L1091" s="9"/>
      <c r="M1091" s="2">
        <v>10940</v>
      </c>
      <c r="N1091" s="9"/>
      <c r="O1091" s="2">
        <v>0</v>
      </c>
      <c r="P1091" s="9"/>
      <c r="Q1091" s="2">
        <f t="shared" si="38"/>
        <v>10940</v>
      </c>
      <c r="T1091" s="11"/>
    </row>
    <row r="1092" spans="1:33" ht="11.85" customHeight="1" x14ac:dyDescent="0.2">
      <c r="A1092" s="3" t="s">
        <v>596</v>
      </c>
      <c r="C1092" s="2">
        <v>145830.81</v>
      </c>
      <c r="E1092" s="2">
        <v>142577.09</v>
      </c>
      <c r="G1092" s="2">
        <v>145283.06</v>
      </c>
      <c r="I1092" s="2">
        <v>160440</v>
      </c>
      <c r="K1092" s="2">
        <f>155940-16300-10095</f>
        <v>129545</v>
      </c>
      <c r="L1092" s="9"/>
      <c r="M1092" s="2">
        <v>141980</v>
      </c>
      <c r="N1092" s="9"/>
      <c r="O1092" s="2">
        <v>0</v>
      </c>
      <c r="P1092" s="9"/>
      <c r="Q1092" s="2">
        <f t="shared" si="38"/>
        <v>141980</v>
      </c>
      <c r="T1092" s="11"/>
    </row>
    <row r="1093" spans="1:33" ht="11.85" customHeight="1" x14ac:dyDescent="0.2">
      <c r="A1093" s="3" t="s">
        <v>597</v>
      </c>
      <c r="C1093" s="2">
        <v>72993.36</v>
      </c>
      <c r="E1093" s="2">
        <v>71616.149999999994</v>
      </c>
      <c r="G1093" s="2">
        <v>73227.22</v>
      </c>
      <c r="I1093" s="2">
        <v>77656</v>
      </c>
      <c r="K1093" s="2">
        <v>77656</v>
      </c>
      <c r="L1093" s="9"/>
      <c r="M1093" s="2">
        <v>77516</v>
      </c>
      <c r="N1093" s="9"/>
      <c r="O1093" s="2">
        <v>0</v>
      </c>
      <c r="P1093" s="9"/>
      <c r="Q1093" s="2">
        <f t="shared" si="38"/>
        <v>77516</v>
      </c>
      <c r="T1093" s="11"/>
    </row>
    <row r="1094" spans="1:33" ht="11.85" customHeight="1" x14ac:dyDescent="0.2">
      <c r="A1094" s="3" t="s">
        <v>598</v>
      </c>
      <c r="C1094" s="2">
        <v>17402.88</v>
      </c>
      <c r="E1094" s="2">
        <v>18716.11</v>
      </c>
      <c r="G1094" s="2">
        <v>25672.32</v>
      </c>
      <c r="I1094" s="2">
        <v>22169</v>
      </c>
      <c r="K1094" s="2">
        <v>22169</v>
      </c>
      <c r="L1094" s="9"/>
      <c r="M1094" s="2">
        <v>17316</v>
      </c>
      <c r="N1094" s="9"/>
      <c r="O1094" s="2">
        <v>0</v>
      </c>
      <c r="P1094" s="9"/>
      <c r="Q1094" s="2">
        <f t="shared" si="38"/>
        <v>17316</v>
      </c>
      <c r="T1094" s="11"/>
    </row>
    <row r="1095" spans="1:33" ht="11.85" customHeight="1" x14ac:dyDescent="0.2">
      <c r="A1095" s="3" t="s">
        <v>599</v>
      </c>
      <c r="C1095" s="2">
        <v>4396.18</v>
      </c>
      <c r="E1095" s="2">
        <v>293.45999999999998</v>
      </c>
      <c r="G1095" s="2">
        <v>115.68</v>
      </c>
      <c r="I1095" s="2">
        <v>1172</v>
      </c>
      <c r="K1095" s="2">
        <v>1172</v>
      </c>
      <c r="L1095" s="9"/>
      <c r="M1095" s="2">
        <v>1260</v>
      </c>
      <c r="N1095" s="9"/>
      <c r="O1095" s="2">
        <v>0</v>
      </c>
      <c r="P1095" s="9"/>
      <c r="Q1095" s="2">
        <f t="shared" si="38"/>
        <v>1260</v>
      </c>
      <c r="T1095" s="11"/>
    </row>
    <row r="1096" spans="1:33" ht="11.85" customHeight="1" x14ac:dyDescent="0.2">
      <c r="A1096" s="3" t="s">
        <v>600</v>
      </c>
      <c r="C1096" s="12">
        <v>52873.45</v>
      </c>
      <c r="E1096" s="12">
        <v>59061.47</v>
      </c>
      <c r="G1096" s="12">
        <v>57524.24</v>
      </c>
      <c r="I1096" s="12">
        <v>60830</v>
      </c>
      <c r="K1096" s="12">
        <v>60830</v>
      </c>
      <c r="L1096" s="9"/>
      <c r="M1096" s="12">
        <v>62252</v>
      </c>
      <c r="N1096" s="9"/>
      <c r="O1096" s="12">
        <v>0</v>
      </c>
      <c r="P1096" s="9"/>
      <c r="Q1096" s="12">
        <f t="shared" si="38"/>
        <v>62252</v>
      </c>
      <c r="T1096" s="11"/>
    </row>
    <row r="1097" spans="1:33" ht="11.85" customHeight="1" x14ac:dyDescent="0.2">
      <c r="A1097" s="3" t="s">
        <v>285</v>
      </c>
      <c r="C1097" s="2">
        <f>SUM(C1088:C1096)</f>
        <v>1027610.0099999999</v>
      </c>
      <c r="E1097" s="2">
        <f>SUM(E1088:E1096)</f>
        <v>1036896.1199999999</v>
      </c>
      <c r="G1097" s="2">
        <f>SUM(G1088:G1096)</f>
        <v>1056318.3799999999</v>
      </c>
      <c r="I1097" s="2">
        <f>SUM(I1088:I1096)</f>
        <v>1128681</v>
      </c>
      <c r="K1097" s="2">
        <f>SUM(K1088:K1096)</f>
        <v>1081486</v>
      </c>
      <c r="L1097" s="9"/>
      <c r="M1097" s="2">
        <f>SUM(M1088:M1096)</f>
        <v>1124866</v>
      </c>
      <c r="N1097" s="9"/>
      <c r="O1097" s="2">
        <f>SUM(O1088:O1096)</f>
        <v>0</v>
      </c>
      <c r="P1097" s="9"/>
      <c r="Q1097" s="2">
        <f>SUM(Q1088:Q1096)</f>
        <v>1124866</v>
      </c>
      <c r="R1097" s="9"/>
      <c r="U1097" s="9"/>
      <c r="AG1097" s="2"/>
    </row>
    <row r="1098" spans="1:33" ht="11.85" customHeight="1" x14ac:dyDescent="0.2">
      <c r="L1098" s="9"/>
      <c r="N1098" s="9"/>
      <c r="P1098" s="9"/>
    </row>
    <row r="1099" spans="1:33" ht="11.85" customHeight="1" x14ac:dyDescent="0.2">
      <c r="A1099" s="10" t="s">
        <v>286</v>
      </c>
      <c r="L1099" s="9"/>
      <c r="N1099" s="9"/>
      <c r="P1099" s="9"/>
    </row>
    <row r="1100" spans="1:33" ht="11.85" customHeight="1" x14ac:dyDescent="0.2">
      <c r="A1100" s="3" t="s">
        <v>601</v>
      </c>
      <c r="C1100" s="2">
        <v>50</v>
      </c>
      <c r="E1100" s="2">
        <v>0</v>
      </c>
      <c r="G1100" s="2">
        <v>0</v>
      </c>
      <c r="I1100" s="2">
        <v>0</v>
      </c>
      <c r="K1100" s="2">
        <v>0</v>
      </c>
      <c r="L1100" s="9"/>
      <c r="M1100" s="2">
        <v>0</v>
      </c>
      <c r="N1100" s="9"/>
      <c r="O1100" s="2">
        <v>0</v>
      </c>
      <c r="P1100" s="9"/>
      <c r="Q1100" s="2">
        <f t="shared" ref="Q1100:Q1113" si="39">M1100+O1100</f>
        <v>0</v>
      </c>
      <c r="T1100" s="11"/>
    </row>
    <row r="1101" spans="1:33" ht="11.85" customHeight="1" x14ac:dyDescent="0.2">
      <c r="A1101" s="3" t="s">
        <v>602</v>
      </c>
      <c r="C1101" s="2">
        <v>13626.2</v>
      </c>
      <c r="E1101" s="2">
        <v>17423.89</v>
      </c>
      <c r="G1101" s="2">
        <v>18481.080000000002</v>
      </c>
      <c r="I1101" s="2">
        <v>16000</v>
      </c>
      <c r="K1101" s="2">
        <v>16000</v>
      </c>
      <c r="L1101" s="9"/>
      <c r="M1101" s="2">
        <v>16000</v>
      </c>
      <c r="N1101" s="9"/>
      <c r="O1101" s="2">
        <v>0</v>
      </c>
      <c r="P1101" s="9"/>
      <c r="Q1101" s="2">
        <f t="shared" si="39"/>
        <v>16000</v>
      </c>
      <c r="T1101" s="11"/>
    </row>
    <row r="1102" spans="1:33" ht="11.85" customHeight="1" x14ac:dyDescent="0.2">
      <c r="A1102" s="3" t="s">
        <v>603</v>
      </c>
      <c r="C1102" s="2">
        <v>5630</v>
      </c>
      <c r="E1102" s="2">
        <v>5300</v>
      </c>
      <c r="G1102" s="2">
        <v>0</v>
      </c>
      <c r="I1102" s="2">
        <v>0</v>
      </c>
      <c r="K1102" s="2">
        <v>2700</v>
      </c>
      <c r="L1102" s="9"/>
      <c r="M1102" s="2">
        <v>0</v>
      </c>
      <c r="N1102" s="9"/>
      <c r="O1102" s="2">
        <v>0</v>
      </c>
      <c r="P1102" s="9"/>
      <c r="Q1102" s="2">
        <f t="shared" si="39"/>
        <v>0</v>
      </c>
      <c r="T1102" s="11"/>
    </row>
    <row r="1103" spans="1:33" ht="11.85" hidden="1" customHeight="1" x14ac:dyDescent="0.2">
      <c r="A1103" s="3" t="s">
        <v>604</v>
      </c>
      <c r="C1103" s="2">
        <v>0</v>
      </c>
      <c r="E1103" s="2">
        <v>0</v>
      </c>
      <c r="G1103" s="2">
        <v>0</v>
      </c>
      <c r="I1103" s="2">
        <v>0</v>
      </c>
      <c r="K1103" s="2">
        <v>0</v>
      </c>
      <c r="L1103" s="9"/>
      <c r="M1103" s="2">
        <v>0</v>
      </c>
      <c r="N1103" s="9"/>
      <c r="O1103" s="2">
        <v>0</v>
      </c>
      <c r="P1103" s="9"/>
      <c r="Q1103" s="2">
        <f t="shared" si="39"/>
        <v>0</v>
      </c>
      <c r="T1103" s="11"/>
    </row>
    <row r="1104" spans="1:33" ht="11.85" customHeight="1" x14ac:dyDescent="0.2">
      <c r="A1104" s="3" t="s">
        <v>605</v>
      </c>
      <c r="C1104" s="2">
        <v>21226.959999999999</v>
      </c>
      <c r="E1104" s="2">
        <v>23489.85</v>
      </c>
      <c r="G1104" s="2">
        <v>26833.49</v>
      </c>
      <c r="I1104" s="2">
        <v>32900</v>
      </c>
      <c r="K1104" s="2">
        <v>32900</v>
      </c>
      <c r="L1104" s="9"/>
      <c r="M1104" s="2">
        <v>31600</v>
      </c>
      <c r="N1104" s="9"/>
      <c r="O1104" s="2">
        <v>0</v>
      </c>
      <c r="P1104" s="9"/>
      <c r="Q1104" s="2">
        <f t="shared" si="39"/>
        <v>31600</v>
      </c>
      <c r="R1104" s="28"/>
      <c r="T1104" s="11"/>
    </row>
    <row r="1105" spans="1:21" ht="11.85" customHeight="1" x14ac:dyDescent="0.2">
      <c r="A1105" s="3" t="s">
        <v>606</v>
      </c>
      <c r="C1105" s="2">
        <v>1361.9</v>
      </c>
      <c r="E1105" s="2">
        <v>1457.29</v>
      </c>
      <c r="G1105" s="2">
        <v>1835.95</v>
      </c>
      <c r="I1105" s="2">
        <v>2000</v>
      </c>
      <c r="K1105" s="2">
        <v>2000</v>
      </c>
      <c r="L1105" s="9"/>
      <c r="M1105" s="2">
        <v>2000</v>
      </c>
      <c r="N1105" s="9"/>
      <c r="O1105" s="2">
        <v>0</v>
      </c>
      <c r="P1105" s="9"/>
      <c r="Q1105" s="2">
        <f t="shared" si="39"/>
        <v>2000</v>
      </c>
      <c r="T1105" s="11"/>
    </row>
    <row r="1106" spans="1:21" ht="11.85" hidden="1" customHeight="1" x14ac:dyDescent="0.2">
      <c r="A1106" s="3" t="s">
        <v>607</v>
      </c>
      <c r="C1106" s="2">
        <v>0</v>
      </c>
      <c r="E1106" s="2">
        <v>0</v>
      </c>
      <c r="G1106" s="2">
        <v>0</v>
      </c>
      <c r="I1106" s="2">
        <v>0</v>
      </c>
      <c r="K1106" s="2">
        <v>0</v>
      </c>
      <c r="L1106" s="9"/>
      <c r="M1106" s="2">
        <v>0</v>
      </c>
      <c r="N1106" s="9"/>
      <c r="O1106" s="2">
        <v>0</v>
      </c>
      <c r="P1106" s="9"/>
      <c r="Q1106" s="2">
        <f t="shared" si="39"/>
        <v>0</v>
      </c>
      <c r="T1106" s="11"/>
    </row>
    <row r="1107" spans="1:21" ht="11.85" customHeight="1" x14ac:dyDescent="0.2">
      <c r="A1107" s="3" t="s">
        <v>608</v>
      </c>
      <c r="C1107" s="2">
        <v>3677.32</v>
      </c>
      <c r="E1107" s="2">
        <v>2340.0100000000002</v>
      </c>
      <c r="G1107" s="2">
        <v>1923.96</v>
      </c>
      <c r="I1107" s="2">
        <v>3500</v>
      </c>
      <c r="K1107" s="2">
        <v>3500</v>
      </c>
      <c r="L1107" s="9"/>
      <c r="M1107" s="2">
        <v>3500</v>
      </c>
      <c r="N1107" s="9"/>
      <c r="O1107" s="2">
        <v>0</v>
      </c>
      <c r="P1107" s="9"/>
      <c r="Q1107" s="2">
        <f t="shared" si="39"/>
        <v>3500</v>
      </c>
      <c r="T1107" s="11"/>
    </row>
    <row r="1108" spans="1:21" ht="11.85" hidden="1" customHeight="1" x14ac:dyDescent="0.2">
      <c r="A1108" s="3" t="s">
        <v>609</v>
      </c>
      <c r="C1108" s="2">
        <v>0</v>
      </c>
      <c r="E1108" s="2">
        <v>0</v>
      </c>
      <c r="G1108" s="2">
        <v>0</v>
      </c>
      <c r="I1108" s="2">
        <v>0</v>
      </c>
      <c r="K1108" s="2">
        <v>0</v>
      </c>
      <c r="L1108" s="9"/>
      <c r="M1108" s="2">
        <v>0</v>
      </c>
      <c r="N1108" s="9"/>
      <c r="O1108" s="2">
        <v>0</v>
      </c>
      <c r="P1108" s="9"/>
      <c r="Q1108" s="2">
        <f t="shared" si="39"/>
        <v>0</v>
      </c>
      <c r="T1108" s="11"/>
    </row>
    <row r="1109" spans="1:21" ht="11.85" customHeight="1" x14ac:dyDescent="0.2">
      <c r="A1109" s="3" t="s">
        <v>610</v>
      </c>
      <c r="C1109" s="2">
        <v>6708.25</v>
      </c>
      <c r="E1109" s="2">
        <v>6609.8</v>
      </c>
      <c r="G1109" s="2">
        <v>6632.4</v>
      </c>
      <c r="I1109" s="2">
        <v>7200</v>
      </c>
      <c r="K1109" s="2">
        <v>7200</v>
      </c>
      <c r="L1109" s="9"/>
      <c r="M1109" s="2">
        <v>7200</v>
      </c>
      <c r="N1109" s="9"/>
      <c r="O1109" s="2">
        <v>0</v>
      </c>
      <c r="P1109" s="9"/>
      <c r="Q1109" s="2">
        <f t="shared" si="39"/>
        <v>7200</v>
      </c>
      <c r="T1109" s="11"/>
    </row>
    <row r="1110" spans="1:21" ht="11.85" customHeight="1" x14ac:dyDescent="0.2">
      <c r="A1110" s="3" t="s">
        <v>611</v>
      </c>
      <c r="C1110" s="2">
        <v>0</v>
      </c>
      <c r="E1110" s="2">
        <v>0</v>
      </c>
      <c r="G1110" s="2">
        <v>1620</v>
      </c>
      <c r="I1110" s="2">
        <v>2400</v>
      </c>
      <c r="K1110" s="2">
        <v>2400</v>
      </c>
      <c r="L1110" s="9"/>
      <c r="M1110" s="2">
        <v>2400</v>
      </c>
      <c r="N1110" s="9"/>
      <c r="O1110" s="2">
        <v>0</v>
      </c>
      <c r="P1110" s="9"/>
      <c r="Q1110" s="2">
        <f t="shared" si="39"/>
        <v>2400</v>
      </c>
      <c r="T1110" s="11"/>
    </row>
    <row r="1111" spans="1:21" ht="11.85" hidden="1" customHeight="1" x14ac:dyDescent="0.2">
      <c r="A1111" s="3" t="s">
        <v>612</v>
      </c>
      <c r="C1111" s="2">
        <v>0</v>
      </c>
      <c r="E1111" s="2">
        <v>0</v>
      </c>
      <c r="G1111" s="2">
        <v>0</v>
      </c>
      <c r="I1111" s="2">
        <v>0</v>
      </c>
      <c r="K1111" s="2">
        <v>0</v>
      </c>
      <c r="L1111" s="9"/>
      <c r="M1111" s="2">
        <v>0</v>
      </c>
      <c r="N1111" s="9"/>
      <c r="O1111" s="2">
        <v>0</v>
      </c>
      <c r="P1111" s="9"/>
      <c r="Q1111" s="2">
        <f t="shared" si="39"/>
        <v>0</v>
      </c>
      <c r="T1111" s="11"/>
    </row>
    <row r="1112" spans="1:21" ht="11.85" customHeight="1" x14ac:dyDescent="0.2">
      <c r="A1112" s="3" t="s">
        <v>613</v>
      </c>
      <c r="C1112" s="2">
        <v>22013.9</v>
      </c>
      <c r="E1112" s="2">
        <v>19451.95</v>
      </c>
      <c r="G1112" s="2">
        <v>22367.09</v>
      </c>
      <c r="I1112" s="2">
        <v>26720</v>
      </c>
      <c r="K1112" s="2">
        <v>26720</v>
      </c>
      <c r="L1112" s="9"/>
      <c r="M1112" s="2">
        <v>27000</v>
      </c>
      <c r="N1112" s="9"/>
      <c r="O1112" s="2">
        <v>0</v>
      </c>
      <c r="P1112" s="9"/>
      <c r="Q1112" s="2">
        <f t="shared" si="39"/>
        <v>27000</v>
      </c>
      <c r="T1112" s="11"/>
    </row>
    <row r="1113" spans="1:21" ht="11.85" customHeight="1" x14ac:dyDescent="0.2">
      <c r="A1113" s="3" t="s">
        <v>614</v>
      </c>
      <c r="C1113" s="12">
        <v>900</v>
      </c>
      <c r="E1113" s="12">
        <v>12346.57</v>
      </c>
      <c r="G1113" s="12">
        <v>8209.9500000000007</v>
      </c>
      <c r="I1113" s="12">
        <v>10000</v>
      </c>
      <c r="K1113" s="12">
        <f>10000-5850</f>
        <v>4150</v>
      </c>
      <c r="L1113" s="9"/>
      <c r="M1113" s="12">
        <v>10000</v>
      </c>
      <c r="N1113" s="9"/>
      <c r="O1113" s="12">
        <v>0</v>
      </c>
      <c r="P1113" s="9"/>
      <c r="Q1113" s="12">
        <f t="shared" si="39"/>
        <v>10000</v>
      </c>
      <c r="T1113" s="11"/>
      <c r="U1113" s="2"/>
    </row>
    <row r="1114" spans="1:21" ht="11.85" customHeight="1" x14ac:dyDescent="0.2">
      <c r="A1114" s="3" t="s">
        <v>304</v>
      </c>
      <c r="C1114" s="2">
        <f>SUM(C1100:C1113)</f>
        <v>75194.53</v>
      </c>
      <c r="E1114" s="2">
        <f>SUM(E1100:E1113)</f>
        <v>88419.360000000015</v>
      </c>
      <c r="G1114" s="2">
        <f>SUM(G1100:G1113)</f>
        <v>87903.92</v>
      </c>
      <c r="I1114" s="2">
        <f>SUM(I1100:I1113)</f>
        <v>100720</v>
      </c>
      <c r="K1114" s="2">
        <f>SUM(K1100:K1113)</f>
        <v>97570</v>
      </c>
      <c r="L1114" s="9"/>
      <c r="M1114" s="2">
        <f>SUM(M1100:M1113)</f>
        <v>99700</v>
      </c>
      <c r="N1114" s="9"/>
      <c r="O1114" s="24">
        <f>SUM(O1100:O1113)</f>
        <v>0</v>
      </c>
      <c r="P1114" s="9"/>
      <c r="Q1114" s="2">
        <f>SUM(Q1100:Q1113)</f>
        <v>99700</v>
      </c>
      <c r="U1114" s="24"/>
    </row>
    <row r="1115" spans="1:21" ht="11.85" customHeight="1" x14ac:dyDescent="0.2"/>
    <row r="1116" spans="1:21" ht="11.85" customHeight="1" x14ac:dyDescent="0.2">
      <c r="A1116" s="10" t="s">
        <v>305</v>
      </c>
      <c r="L1116" s="9"/>
      <c r="N1116" s="9"/>
      <c r="P1116" s="9"/>
    </row>
    <row r="1117" spans="1:21" ht="11.85" customHeight="1" x14ac:dyDescent="0.2">
      <c r="A1117" s="3" t="s">
        <v>615</v>
      </c>
      <c r="C1117" s="2">
        <v>1645.64</v>
      </c>
      <c r="E1117" s="2">
        <v>454.48</v>
      </c>
      <c r="G1117" s="2">
        <v>549.76</v>
      </c>
      <c r="I1117" s="2">
        <v>1200</v>
      </c>
      <c r="K1117" s="2">
        <v>1200</v>
      </c>
      <c r="L1117" s="9"/>
      <c r="M1117" s="2">
        <v>1200</v>
      </c>
      <c r="N1117" s="9"/>
      <c r="O1117" s="2">
        <v>0</v>
      </c>
      <c r="P1117" s="9"/>
      <c r="Q1117" s="2">
        <f t="shared" ref="Q1117:Q1136" si="40">M1117+O1117</f>
        <v>1200</v>
      </c>
      <c r="S1117" s="31"/>
      <c r="T1117" s="11"/>
    </row>
    <row r="1118" spans="1:21" ht="11.85" customHeight="1" x14ac:dyDescent="0.2">
      <c r="A1118" s="3" t="s">
        <v>616</v>
      </c>
      <c r="C1118" s="2">
        <v>4001.81</v>
      </c>
      <c r="E1118" s="2">
        <v>3926.01</v>
      </c>
      <c r="G1118" s="2">
        <v>7292.11</v>
      </c>
      <c r="I1118" s="2">
        <v>7550</v>
      </c>
      <c r="K1118" s="2">
        <v>7550</v>
      </c>
      <c r="L1118" s="9"/>
      <c r="M1118" s="2">
        <v>5000</v>
      </c>
      <c r="N1118" s="9"/>
      <c r="O1118" s="2">
        <v>0</v>
      </c>
      <c r="P1118" s="9"/>
      <c r="Q1118" s="2">
        <f t="shared" si="40"/>
        <v>5000</v>
      </c>
      <c r="S1118" s="31"/>
      <c r="T1118" s="11"/>
    </row>
    <row r="1119" spans="1:21" ht="11.85" customHeight="1" x14ac:dyDescent="0.2">
      <c r="A1119" s="3" t="s">
        <v>617</v>
      </c>
      <c r="C1119" s="2">
        <v>10126.43</v>
      </c>
      <c r="E1119" s="2">
        <v>8678.14</v>
      </c>
      <c r="G1119" s="2">
        <v>11794.87</v>
      </c>
      <c r="I1119" s="2">
        <v>11850</v>
      </c>
      <c r="K1119" s="2">
        <v>11850</v>
      </c>
      <c r="L1119" s="9"/>
      <c r="M1119" s="2">
        <v>12000</v>
      </c>
      <c r="N1119" s="9"/>
      <c r="O1119" s="2">
        <v>0</v>
      </c>
      <c r="P1119" s="9"/>
      <c r="Q1119" s="2">
        <f t="shared" si="40"/>
        <v>12000</v>
      </c>
      <c r="S1119" s="31"/>
      <c r="T1119" s="11"/>
    </row>
    <row r="1120" spans="1:21" ht="11.85" customHeight="1" x14ac:dyDescent="0.2">
      <c r="A1120" s="3" t="s">
        <v>618</v>
      </c>
      <c r="C1120" s="2">
        <v>27989.33</v>
      </c>
      <c r="E1120" s="2">
        <v>39156.5</v>
      </c>
      <c r="G1120" s="2">
        <v>35606.76</v>
      </c>
      <c r="I1120" s="2">
        <v>50000</v>
      </c>
      <c r="K1120" s="2">
        <f>50000-7700</f>
        <v>42300</v>
      </c>
      <c r="L1120" s="9"/>
      <c r="M1120" s="2">
        <v>40000</v>
      </c>
      <c r="N1120" s="9"/>
      <c r="O1120" s="2">
        <v>0</v>
      </c>
      <c r="P1120" s="9"/>
      <c r="Q1120" s="2">
        <f t="shared" si="40"/>
        <v>40000</v>
      </c>
      <c r="S1120" s="31"/>
      <c r="T1120" s="11"/>
    </row>
    <row r="1121" spans="1:20" ht="11.85" customHeight="1" x14ac:dyDescent="0.2">
      <c r="A1121" s="3" t="s">
        <v>619</v>
      </c>
      <c r="C1121" s="2">
        <v>14619.68</v>
      </c>
      <c r="E1121" s="2">
        <v>25403.040000000001</v>
      </c>
      <c r="G1121" s="2">
        <v>26226.07</v>
      </c>
      <c r="I1121" s="2">
        <v>15000</v>
      </c>
      <c r="K1121" s="2">
        <f>15000+3500+5000</f>
        <v>23500</v>
      </c>
      <c r="L1121" s="9"/>
      <c r="M1121" s="2">
        <v>15000</v>
      </c>
      <c r="N1121" s="9"/>
      <c r="O1121" s="2">
        <v>0</v>
      </c>
      <c r="P1121" s="9"/>
      <c r="Q1121" s="2">
        <f t="shared" si="40"/>
        <v>15000</v>
      </c>
      <c r="S1121" s="31"/>
      <c r="T1121" s="11"/>
    </row>
    <row r="1122" spans="1:20" ht="11.85" customHeight="1" x14ac:dyDescent="0.2">
      <c r="A1122" s="3" t="s">
        <v>620</v>
      </c>
      <c r="C1122" s="2">
        <v>35752.28</v>
      </c>
      <c r="E1122" s="2">
        <v>1062.49</v>
      </c>
      <c r="G1122" s="2">
        <v>3449</v>
      </c>
      <c r="I1122" s="2">
        <v>9000</v>
      </c>
      <c r="K1122" s="2">
        <v>9000</v>
      </c>
      <c r="L1122" s="9"/>
      <c r="M1122" s="2">
        <v>4000</v>
      </c>
      <c r="N1122" s="9"/>
      <c r="O1122" s="2">
        <v>0</v>
      </c>
      <c r="P1122" s="9"/>
      <c r="Q1122" s="2">
        <f t="shared" si="40"/>
        <v>4000</v>
      </c>
      <c r="S1122" s="31"/>
      <c r="T1122" s="11"/>
    </row>
    <row r="1123" spans="1:20" ht="11.85" customHeight="1" x14ac:dyDescent="0.2">
      <c r="A1123" s="3" t="s">
        <v>621</v>
      </c>
      <c r="C1123" s="2">
        <v>861.14</v>
      </c>
      <c r="E1123" s="2">
        <v>1012.17</v>
      </c>
      <c r="G1123" s="2">
        <v>3890</v>
      </c>
      <c r="I1123" s="2">
        <v>5000</v>
      </c>
      <c r="K1123" s="2">
        <v>5000</v>
      </c>
      <c r="L1123" s="9"/>
      <c r="M1123" s="2">
        <v>5000</v>
      </c>
      <c r="N1123" s="9"/>
      <c r="O1123" s="2">
        <v>0</v>
      </c>
      <c r="P1123" s="9"/>
      <c r="Q1123" s="2">
        <f t="shared" si="40"/>
        <v>5000</v>
      </c>
      <c r="S1123" s="31"/>
      <c r="T1123" s="11"/>
    </row>
    <row r="1124" spans="1:20" ht="11.85" customHeight="1" x14ac:dyDescent="0.2">
      <c r="A1124" s="3" t="s">
        <v>622</v>
      </c>
      <c r="C1124" s="2">
        <v>721.78</v>
      </c>
      <c r="E1124" s="2">
        <v>0</v>
      </c>
      <c r="G1124" s="2">
        <v>0</v>
      </c>
      <c r="I1124" s="2">
        <v>0</v>
      </c>
      <c r="K1124" s="2">
        <v>0</v>
      </c>
      <c r="L1124" s="9"/>
      <c r="M1124" s="2">
        <v>0</v>
      </c>
      <c r="N1124" s="9"/>
      <c r="O1124" s="2">
        <v>0</v>
      </c>
      <c r="P1124" s="9"/>
      <c r="Q1124" s="2">
        <f t="shared" si="40"/>
        <v>0</v>
      </c>
      <c r="S1124" s="31"/>
      <c r="T1124" s="11"/>
    </row>
    <row r="1125" spans="1:20" ht="11.85" customHeight="1" x14ac:dyDescent="0.2">
      <c r="A1125" s="3" t="s">
        <v>623</v>
      </c>
      <c r="C1125" s="2">
        <v>41720</v>
      </c>
      <c r="E1125" s="2">
        <v>10338.120000000001</v>
      </c>
      <c r="G1125" s="2">
        <v>18410.48</v>
      </c>
      <c r="I1125" s="2">
        <v>6000</v>
      </c>
      <c r="K1125" s="2">
        <f>6000+3000</f>
        <v>9000</v>
      </c>
      <c r="L1125" s="9"/>
      <c r="M1125" s="2">
        <v>7000</v>
      </c>
      <c r="N1125" s="9"/>
      <c r="O1125" s="2">
        <v>0</v>
      </c>
      <c r="P1125" s="9"/>
      <c r="Q1125" s="2">
        <f t="shared" si="40"/>
        <v>7000</v>
      </c>
      <c r="S1125" s="31"/>
      <c r="T1125" s="11"/>
    </row>
    <row r="1126" spans="1:20" ht="11.85" customHeight="1" x14ac:dyDescent="0.2">
      <c r="A1126" s="3" t="s">
        <v>624</v>
      </c>
      <c r="C1126" s="2">
        <v>0</v>
      </c>
      <c r="E1126" s="2">
        <v>0</v>
      </c>
      <c r="G1126" s="2">
        <v>0</v>
      </c>
      <c r="I1126" s="2">
        <v>0</v>
      </c>
      <c r="K1126" s="2">
        <v>0</v>
      </c>
      <c r="L1126" s="9"/>
      <c r="M1126" s="2">
        <v>0</v>
      </c>
      <c r="N1126" s="9"/>
      <c r="O1126" s="2">
        <v>0</v>
      </c>
      <c r="P1126" s="9"/>
      <c r="Q1126" s="2">
        <f t="shared" si="40"/>
        <v>0</v>
      </c>
      <c r="S1126" s="31"/>
      <c r="T1126" s="11"/>
    </row>
    <row r="1127" spans="1:20" ht="11.85" customHeight="1" x14ac:dyDescent="0.2">
      <c r="A1127" s="3" t="s">
        <v>625</v>
      </c>
      <c r="C1127" s="2">
        <v>7587.53</v>
      </c>
      <c r="E1127" s="2">
        <v>6921</v>
      </c>
      <c r="G1127" s="2">
        <v>5458.14</v>
      </c>
      <c r="I1127" s="2">
        <v>9000</v>
      </c>
      <c r="K1127" s="2">
        <v>9000</v>
      </c>
      <c r="L1127" s="9"/>
      <c r="M1127" s="2">
        <v>6000</v>
      </c>
      <c r="N1127" s="9"/>
      <c r="O1127" s="24">
        <v>0</v>
      </c>
      <c r="P1127" s="9"/>
      <c r="Q1127" s="2">
        <f t="shared" si="40"/>
        <v>6000</v>
      </c>
      <c r="S1127" s="31"/>
      <c r="T1127" s="11"/>
    </row>
    <row r="1128" spans="1:20" ht="11.85" customHeight="1" x14ac:dyDescent="0.2">
      <c r="A1128" s="3" t="s">
        <v>626</v>
      </c>
      <c r="C1128" s="2">
        <v>1001.64</v>
      </c>
      <c r="E1128" s="2">
        <v>820.02</v>
      </c>
      <c r="G1128" s="2">
        <v>761.57</v>
      </c>
      <c r="I1128" s="2">
        <v>1000</v>
      </c>
      <c r="K1128" s="2">
        <v>1000</v>
      </c>
      <c r="L1128" s="9"/>
      <c r="M1128" s="2">
        <v>1000</v>
      </c>
      <c r="N1128" s="9"/>
      <c r="O1128" s="2">
        <v>0</v>
      </c>
      <c r="P1128" s="9"/>
      <c r="Q1128" s="2">
        <f t="shared" si="40"/>
        <v>1000</v>
      </c>
      <c r="S1128" s="31"/>
      <c r="T1128" s="11"/>
    </row>
    <row r="1129" spans="1:20" ht="11.85" hidden="1" customHeight="1" x14ac:dyDescent="0.2">
      <c r="A1129" s="3" t="s">
        <v>627</v>
      </c>
      <c r="C1129" s="2">
        <v>0</v>
      </c>
      <c r="E1129" s="2">
        <v>0</v>
      </c>
      <c r="G1129" s="2">
        <v>0</v>
      </c>
      <c r="I1129" s="2">
        <v>0</v>
      </c>
      <c r="K1129" s="2">
        <v>0</v>
      </c>
      <c r="L1129" s="9"/>
      <c r="M1129" s="2">
        <v>0</v>
      </c>
      <c r="N1129" s="9"/>
      <c r="O1129" s="2">
        <v>0</v>
      </c>
      <c r="P1129" s="9"/>
      <c r="Q1129" s="2">
        <f t="shared" si="40"/>
        <v>0</v>
      </c>
      <c r="S1129" s="31"/>
      <c r="T1129" s="11"/>
    </row>
    <row r="1130" spans="1:20" ht="11.85" customHeight="1" x14ac:dyDescent="0.2">
      <c r="A1130" s="3" t="s">
        <v>628</v>
      </c>
      <c r="C1130" s="2">
        <v>12889.92</v>
      </c>
      <c r="E1130" s="2">
        <v>10015.120000000001</v>
      </c>
      <c r="G1130" s="2">
        <v>8375.3799999999992</v>
      </c>
      <c r="I1130" s="2">
        <v>18000</v>
      </c>
      <c r="K1130" s="2">
        <f>18000-3000</f>
        <v>15000</v>
      </c>
      <c r="L1130" s="9"/>
      <c r="M1130" s="2">
        <v>18000</v>
      </c>
      <c r="N1130" s="9"/>
      <c r="O1130" s="2">
        <v>0</v>
      </c>
      <c r="P1130" s="9"/>
      <c r="Q1130" s="2">
        <f t="shared" si="40"/>
        <v>18000</v>
      </c>
      <c r="S1130" s="31"/>
      <c r="T1130" s="11"/>
    </row>
    <row r="1131" spans="1:20" ht="11.85" customHeight="1" x14ac:dyDescent="0.2">
      <c r="A1131" s="3" t="s">
        <v>629</v>
      </c>
      <c r="C1131" s="2">
        <v>810.85</v>
      </c>
      <c r="E1131" s="2">
        <v>1398.93</v>
      </c>
      <c r="G1131" s="2">
        <v>7</v>
      </c>
      <c r="I1131" s="2">
        <v>0</v>
      </c>
      <c r="K1131" s="2">
        <v>0</v>
      </c>
      <c r="L1131" s="9"/>
      <c r="M1131" s="2">
        <v>0</v>
      </c>
      <c r="N1131" s="9"/>
      <c r="O1131" s="2">
        <v>0</v>
      </c>
      <c r="P1131" s="9"/>
      <c r="Q1131" s="2">
        <f t="shared" si="40"/>
        <v>0</v>
      </c>
      <c r="S1131" s="31"/>
      <c r="T1131" s="11"/>
    </row>
    <row r="1132" spans="1:20" ht="11.85" hidden="1" customHeight="1" x14ac:dyDescent="0.2">
      <c r="A1132" s="3" t="s">
        <v>630</v>
      </c>
      <c r="C1132" s="2">
        <v>0</v>
      </c>
      <c r="E1132" s="2">
        <v>0</v>
      </c>
      <c r="G1132" s="2">
        <v>0</v>
      </c>
      <c r="I1132" s="2">
        <v>0</v>
      </c>
      <c r="K1132" s="2">
        <v>0</v>
      </c>
      <c r="L1132" s="9"/>
      <c r="M1132" s="2">
        <v>0</v>
      </c>
      <c r="N1132" s="9"/>
      <c r="O1132" s="2">
        <v>0</v>
      </c>
      <c r="P1132" s="9"/>
      <c r="Q1132" s="2">
        <f t="shared" si="40"/>
        <v>0</v>
      </c>
      <c r="S1132" s="31"/>
      <c r="T1132" s="11"/>
    </row>
    <row r="1133" spans="1:20" ht="11.85" hidden="1" customHeight="1" x14ac:dyDescent="0.2">
      <c r="A1133" s="3" t="s">
        <v>631</v>
      </c>
      <c r="C1133" s="2">
        <v>0</v>
      </c>
      <c r="E1133" s="2">
        <v>0</v>
      </c>
      <c r="G1133" s="2">
        <v>0</v>
      </c>
      <c r="I1133" s="2">
        <v>0</v>
      </c>
      <c r="K1133" s="2">
        <v>0</v>
      </c>
      <c r="L1133" s="9"/>
      <c r="M1133" s="2">
        <v>0</v>
      </c>
      <c r="N1133" s="9"/>
      <c r="O1133" s="2">
        <v>0</v>
      </c>
      <c r="P1133" s="9"/>
      <c r="Q1133" s="2">
        <f t="shared" si="40"/>
        <v>0</v>
      </c>
      <c r="S1133" s="31"/>
      <c r="T1133" s="11"/>
    </row>
    <row r="1134" spans="1:20" ht="11.85" hidden="1" customHeight="1" x14ac:dyDescent="0.2">
      <c r="A1134" s="3" t="s">
        <v>632</v>
      </c>
      <c r="C1134" s="2">
        <v>0</v>
      </c>
      <c r="E1134" s="2">
        <v>0</v>
      </c>
      <c r="G1134" s="2">
        <v>0</v>
      </c>
      <c r="I1134" s="2">
        <v>0</v>
      </c>
      <c r="K1134" s="2">
        <v>0</v>
      </c>
      <c r="L1134" s="9"/>
      <c r="M1134" s="2">
        <v>0</v>
      </c>
      <c r="N1134" s="9"/>
      <c r="O1134" s="2">
        <v>0</v>
      </c>
      <c r="P1134" s="9"/>
      <c r="Q1134" s="2">
        <f t="shared" si="40"/>
        <v>0</v>
      </c>
      <c r="S1134" s="31"/>
      <c r="T1134" s="11"/>
    </row>
    <row r="1135" spans="1:20" ht="11.85" hidden="1" customHeight="1" x14ac:dyDescent="0.2">
      <c r="A1135" s="3" t="s">
        <v>633</v>
      </c>
      <c r="C1135" s="2">
        <v>0</v>
      </c>
      <c r="E1135" s="2">
        <v>0</v>
      </c>
      <c r="G1135" s="2">
        <v>0</v>
      </c>
      <c r="I1135" s="2">
        <v>0</v>
      </c>
      <c r="K1135" s="2">
        <v>0</v>
      </c>
      <c r="L1135" s="9"/>
      <c r="M1135" s="2">
        <v>0</v>
      </c>
      <c r="N1135" s="9"/>
      <c r="O1135" s="2">
        <v>0</v>
      </c>
      <c r="P1135" s="9"/>
      <c r="Q1135" s="2">
        <f t="shared" si="40"/>
        <v>0</v>
      </c>
      <c r="S1135" s="31"/>
      <c r="T1135" s="11"/>
    </row>
    <row r="1136" spans="1:20" ht="11.85" customHeight="1" x14ac:dyDescent="0.2">
      <c r="A1136" s="3" t="s">
        <v>634</v>
      </c>
      <c r="C1136" s="2">
        <v>4988.99</v>
      </c>
      <c r="E1136" s="2">
        <v>5256.5</v>
      </c>
      <c r="G1136" s="2">
        <v>5807.55</v>
      </c>
      <c r="I1136" s="2">
        <v>4800</v>
      </c>
      <c r="K1136" s="2">
        <v>4800</v>
      </c>
      <c r="L1136" s="9"/>
      <c r="M1136" s="2">
        <v>6000</v>
      </c>
      <c r="N1136" s="9"/>
      <c r="O1136" s="2">
        <v>0</v>
      </c>
      <c r="P1136" s="9"/>
      <c r="Q1136" s="2">
        <f t="shared" si="40"/>
        <v>6000</v>
      </c>
      <c r="S1136" s="31"/>
      <c r="T1136" s="11"/>
    </row>
    <row r="1137" spans="1:21" ht="11.85" customHeight="1" x14ac:dyDescent="0.2">
      <c r="A1137" s="3" t="s">
        <v>635</v>
      </c>
      <c r="C1137" s="12">
        <v>74750.990000000005</v>
      </c>
      <c r="E1137" s="12">
        <v>61030.239999999998</v>
      </c>
      <c r="G1137" s="12">
        <v>103242.65</v>
      </c>
      <c r="I1137" s="12">
        <v>100800</v>
      </c>
      <c r="K1137" s="12">
        <f>100800+5850</f>
        <v>106650</v>
      </c>
      <c r="L1137" s="9"/>
      <c r="M1137" s="12">
        <v>104000</v>
      </c>
      <c r="N1137" s="9"/>
      <c r="O1137" s="12">
        <v>0</v>
      </c>
      <c r="P1137" s="9"/>
      <c r="Q1137" s="12">
        <f>M1137+O1137</f>
        <v>104000</v>
      </c>
      <c r="S1137" s="31"/>
      <c r="T1137" s="11"/>
    </row>
    <row r="1138" spans="1:21" ht="11.85" customHeight="1" x14ac:dyDescent="0.2">
      <c r="A1138" s="3" t="s">
        <v>328</v>
      </c>
      <c r="C1138" s="2">
        <f>SUM(C1117:C1121)+SUM(C1122:C1137)</f>
        <v>239468.01</v>
      </c>
      <c r="E1138" s="2">
        <f>SUM(E1117:E1121)+SUM(E1122:E1137)</f>
        <v>175472.76</v>
      </c>
      <c r="G1138" s="2">
        <f>SUM(G1117:G1121)+SUM(G1122:G1137)</f>
        <v>230871.34</v>
      </c>
      <c r="I1138" s="2">
        <f>SUM(I1117:I1121)+SUM(I1122:I1137)</f>
        <v>239200</v>
      </c>
      <c r="K1138" s="2">
        <f>SUM(K1117:K1121)+SUM(K1122:K1137)</f>
        <v>245850</v>
      </c>
      <c r="L1138" s="9"/>
      <c r="M1138" s="2">
        <f>SUM(M1117:M1121)+SUM(M1122:M1137)</f>
        <v>224200</v>
      </c>
      <c r="N1138" s="9"/>
      <c r="O1138" s="24">
        <f>SUM(O1117:O1137)</f>
        <v>0</v>
      </c>
      <c r="P1138" s="9"/>
      <c r="Q1138" s="2">
        <f>SUM(Q1117:Q1137)</f>
        <v>224200</v>
      </c>
      <c r="R1138" s="9"/>
      <c r="T1138" s="14"/>
      <c r="U1138" s="9"/>
    </row>
    <row r="1139" spans="1:21" ht="11.85" customHeight="1" x14ac:dyDescent="0.2">
      <c r="L1139" s="9"/>
      <c r="N1139" s="9"/>
      <c r="P1139" s="9"/>
    </row>
    <row r="1140" spans="1:21" ht="11.85" customHeight="1" x14ac:dyDescent="0.2">
      <c r="L1140" s="9"/>
      <c r="N1140" s="9"/>
      <c r="P1140" s="9"/>
    </row>
    <row r="1141" spans="1:21" ht="11.85" customHeight="1" x14ac:dyDescent="0.2">
      <c r="L1141" s="9"/>
      <c r="N1141" s="9"/>
      <c r="P1141" s="9"/>
    </row>
    <row r="1142" spans="1:21" ht="11.85" customHeight="1" x14ac:dyDescent="0.2">
      <c r="A1142" s="1"/>
      <c r="B1142" s="1"/>
      <c r="E1142" s="2" t="str">
        <f>$E$1</f>
        <v>CITY OF BRADY</v>
      </c>
    </row>
    <row r="1143" spans="1:21" ht="11.85" customHeight="1" x14ac:dyDescent="0.2">
      <c r="E1143" s="2" t="str">
        <f>$E$2</f>
        <v>BUDGET REPORT</v>
      </c>
    </row>
    <row r="1144" spans="1:21" ht="11.85" customHeight="1" x14ac:dyDescent="0.2">
      <c r="E1144" s="2" t="str">
        <f>$E$3</f>
        <v>FISCAL YEAR 2024 - 2025</v>
      </c>
    </row>
    <row r="1145" spans="1:21" ht="11.85" customHeight="1" x14ac:dyDescent="0.2">
      <c r="A1145" s="3" t="s">
        <v>3</v>
      </c>
    </row>
    <row r="1146" spans="1:21" ht="11.85" customHeight="1" x14ac:dyDescent="0.2">
      <c r="A1146" s="3" t="s">
        <v>591</v>
      </c>
    </row>
    <row r="1147" spans="1:21" ht="11.85" customHeight="1" x14ac:dyDescent="0.2">
      <c r="I1147" s="53" t="str">
        <f>$I$6</f>
        <v>(----- 2023-2024------)</v>
      </c>
      <c r="J1147" s="53"/>
      <c r="K1147" s="53"/>
      <c r="L1147" s="6"/>
      <c r="M1147" s="54" t="str">
        <f>$M$6</f>
        <v>2024-2025</v>
      </c>
      <c r="N1147" s="54"/>
      <c r="O1147" s="54"/>
      <c r="P1147" s="54"/>
      <c r="Q1147" s="54"/>
    </row>
    <row r="1148" spans="1:21" ht="11.85" customHeight="1" x14ac:dyDescent="0.2">
      <c r="C1148" s="5" t="str">
        <f>$C$7</f>
        <v>2020-2021</v>
      </c>
      <c r="D1148" s="5"/>
      <c r="E1148" s="5" t="str">
        <f>$E$7</f>
        <v>2021-2022</v>
      </c>
      <c r="F1148" s="5"/>
      <c r="G1148" s="5" t="str">
        <f>$G$7</f>
        <v>2022-2023</v>
      </c>
      <c r="H1148" s="5"/>
      <c r="I1148" s="5" t="s">
        <v>9</v>
      </c>
      <c r="J1148" s="5"/>
      <c r="K1148" s="5" t="str">
        <f>+$K$7</f>
        <v>PROJECTED</v>
      </c>
      <c r="L1148" s="6"/>
      <c r="M1148" s="5">
        <f>$M$7</f>
        <v>0</v>
      </c>
      <c r="N1148" s="6"/>
      <c r="O1148" s="5" t="str">
        <f>$O$7</f>
        <v>2024-2025</v>
      </c>
      <c r="P1148" s="6"/>
      <c r="Q1148" s="5" t="str">
        <f>$Q$7</f>
        <v>APPROVED</v>
      </c>
    </row>
    <row r="1149" spans="1:21" ht="11.85" customHeight="1" x14ac:dyDescent="0.2">
      <c r="A1149" s="7" t="s">
        <v>273</v>
      </c>
      <c r="C1149" s="8" t="s">
        <v>12</v>
      </c>
      <c r="D1149" s="5"/>
      <c r="E1149" s="8" t="s">
        <v>12</v>
      </c>
      <c r="F1149" s="5"/>
      <c r="G1149" s="8" t="s">
        <v>12</v>
      </c>
      <c r="H1149" s="5"/>
      <c r="I1149" s="8" t="s">
        <v>13</v>
      </c>
      <c r="J1149" s="5"/>
      <c r="K1149" s="8" t="s">
        <v>13</v>
      </c>
      <c r="L1149" s="6"/>
      <c r="M1149" s="8" t="str">
        <f>$M$8</f>
        <v>BASE</v>
      </c>
      <c r="N1149" s="6"/>
      <c r="O1149" s="8" t="str">
        <f>$O$8</f>
        <v>SUPPLEMENTAL</v>
      </c>
      <c r="P1149" s="6"/>
      <c r="Q1149" s="8" t="str">
        <f>$Q$8</f>
        <v>BUDGET</v>
      </c>
    </row>
    <row r="1150" spans="1:21" ht="11.85" customHeight="1" x14ac:dyDescent="0.2">
      <c r="L1150" s="9"/>
      <c r="N1150" s="9"/>
      <c r="P1150" s="9"/>
    </row>
    <row r="1151" spans="1:21" ht="11.85" customHeight="1" x14ac:dyDescent="0.2">
      <c r="A1151" s="3" t="s">
        <v>636</v>
      </c>
      <c r="C1151" s="2">
        <v>0</v>
      </c>
      <c r="E1151" s="2">
        <v>0</v>
      </c>
      <c r="G1151" s="2">
        <v>0</v>
      </c>
      <c r="I1151" s="2">
        <v>0</v>
      </c>
      <c r="K1151" s="2">
        <v>0</v>
      </c>
      <c r="L1151" s="9"/>
      <c r="M1151" s="2">
        <v>0</v>
      </c>
      <c r="N1151" s="9"/>
      <c r="O1151" s="2">
        <v>0</v>
      </c>
      <c r="P1151" s="9"/>
      <c r="Q1151" s="2">
        <f>M1151+O1151</f>
        <v>0</v>
      </c>
      <c r="T1151" s="11"/>
    </row>
    <row r="1152" spans="1:21" ht="11.85" customHeight="1" x14ac:dyDescent="0.2">
      <c r="A1152" s="3" t="s">
        <v>637</v>
      </c>
      <c r="C1152" s="12">
        <v>156455.04000000001</v>
      </c>
      <c r="E1152" s="12">
        <v>251303.61</v>
      </c>
      <c r="G1152" s="12">
        <v>81780</v>
      </c>
      <c r="I1152" s="12">
        <v>8600</v>
      </c>
      <c r="K1152" s="12">
        <f>100000+32600+24300</f>
        <v>156900</v>
      </c>
      <c r="L1152" s="9"/>
      <c r="M1152" s="12">
        <v>125400</v>
      </c>
      <c r="N1152" s="9"/>
      <c r="O1152" s="12">
        <v>0</v>
      </c>
      <c r="P1152" s="9"/>
      <c r="Q1152" s="12">
        <f>M1152+O1152</f>
        <v>125400</v>
      </c>
      <c r="T1152" s="11"/>
    </row>
    <row r="1153" spans="1:21" ht="11.85" customHeight="1" x14ac:dyDescent="0.2">
      <c r="A1153" s="3" t="s">
        <v>331</v>
      </c>
      <c r="C1153" s="2">
        <f>SUM(C1151:C1152)</f>
        <v>156455.04000000001</v>
      </c>
      <c r="E1153" s="2">
        <f>SUM(E1151:E1152)</f>
        <v>251303.61</v>
      </c>
      <c r="G1153" s="2">
        <f>SUM(G1151:G1152)</f>
        <v>81780</v>
      </c>
      <c r="I1153" s="2">
        <f>SUM(I1151:I1152)</f>
        <v>8600</v>
      </c>
      <c r="K1153" s="2">
        <f>SUM(K1151:K1152)</f>
        <v>156900</v>
      </c>
      <c r="L1153" s="9"/>
      <c r="M1153" s="2">
        <f>SUM(M1151:M1152)</f>
        <v>125400</v>
      </c>
      <c r="N1153" s="9"/>
      <c r="O1153" s="2">
        <f>SUM(O1151:O1152)</f>
        <v>0</v>
      </c>
      <c r="P1153" s="9"/>
      <c r="Q1153" s="2">
        <f>SUM(Q1151:Q1152)</f>
        <v>125400</v>
      </c>
    </row>
    <row r="1154" spans="1:21" ht="11.85" customHeight="1" x14ac:dyDescent="0.2">
      <c r="L1154" s="9"/>
      <c r="N1154" s="9"/>
      <c r="P1154" s="9"/>
    </row>
    <row r="1155" spans="1:21" ht="11.85" customHeight="1" x14ac:dyDescent="0.2">
      <c r="A1155" s="3" t="s">
        <v>638</v>
      </c>
      <c r="C1155" s="2">
        <f>C1097+C1114+C1138+C1153</f>
        <v>1498727.5899999999</v>
      </c>
      <c r="E1155" s="2">
        <f>E1097+E1114+E1138+E1153</f>
        <v>1552091.85</v>
      </c>
      <c r="G1155" s="2">
        <f>G1097+G1114+G1138+G1153</f>
        <v>1456873.64</v>
      </c>
      <c r="I1155" s="2">
        <f>I1097+I1114+I1138+I1153</f>
        <v>1477201</v>
      </c>
      <c r="K1155" s="2">
        <f>K1097+K1114+K1138+K1153</f>
        <v>1581806</v>
      </c>
      <c r="L1155" s="9"/>
      <c r="M1155" s="2">
        <f>M1097+M1114+M1138+M1153</f>
        <v>1574166</v>
      </c>
      <c r="N1155" s="9"/>
      <c r="O1155" s="24">
        <f>O1097+O1114+O1138+O1153</f>
        <v>0</v>
      </c>
      <c r="P1155" s="9"/>
      <c r="Q1155" s="2">
        <f>Q1097+Q1114+Q1138+Q1153</f>
        <v>1574166</v>
      </c>
      <c r="R1155" s="9"/>
      <c r="T1155" s="11"/>
      <c r="U1155" s="9"/>
    </row>
    <row r="1156" spans="1:21" ht="11.85" customHeight="1" x14ac:dyDescent="0.2"/>
    <row r="1157" spans="1:21" ht="11.85" customHeight="1" x14ac:dyDescent="0.2"/>
    <row r="1158" spans="1:21" ht="11.85" customHeight="1" x14ac:dyDescent="0.2"/>
    <row r="1159" spans="1:21" ht="11.85" customHeight="1" x14ac:dyDescent="0.2"/>
    <row r="1160" spans="1:21" ht="11.85" customHeight="1" x14ac:dyDescent="0.2"/>
    <row r="1161" spans="1:21" ht="11.85" customHeight="1" x14ac:dyDescent="0.2"/>
    <row r="1162" spans="1:21" ht="11.85" customHeight="1" x14ac:dyDescent="0.2"/>
    <row r="1163" spans="1:21" ht="11.85" customHeight="1" x14ac:dyDescent="0.2"/>
    <row r="1164" spans="1:21" ht="11.85" customHeight="1" x14ac:dyDescent="0.2"/>
    <row r="1165" spans="1:21" ht="11.85" customHeight="1" x14ac:dyDescent="0.2"/>
    <row r="1166" spans="1:21" ht="11.85" customHeight="1" x14ac:dyDescent="0.2"/>
    <row r="1167" spans="1:21" ht="11.85" customHeight="1" x14ac:dyDescent="0.2"/>
    <row r="1168" spans="1:21" ht="11.85" customHeight="1" x14ac:dyDescent="0.2"/>
    <row r="1169" ht="11.85" customHeight="1" x14ac:dyDescent="0.2"/>
    <row r="1170" ht="11.85" customHeight="1" x14ac:dyDescent="0.2"/>
    <row r="1171" ht="11.85" customHeight="1" x14ac:dyDescent="0.2"/>
    <row r="1172" ht="11.85" customHeight="1" x14ac:dyDescent="0.2"/>
    <row r="1173" ht="11.85" customHeight="1" x14ac:dyDescent="0.2"/>
    <row r="1174" ht="11.85" customHeight="1" x14ac:dyDescent="0.2"/>
    <row r="1175" ht="11.85" customHeight="1" x14ac:dyDescent="0.2"/>
    <row r="1176" ht="11.85" customHeight="1" x14ac:dyDescent="0.2"/>
    <row r="1177" ht="11.85" customHeight="1" x14ac:dyDescent="0.2"/>
    <row r="1178" ht="11.85" customHeight="1" x14ac:dyDescent="0.2"/>
    <row r="1179" ht="11.85" customHeight="1" x14ac:dyDescent="0.2"/>
    <row r="1180" ht="11.85" customHeight="1" x14ac:dyDescent="0.2"/>
    <row r="1181" ht="11.85" customHeight="1" x14ac:dyDescent="0.2"/>
    <row r="1182" ht="11.85" customHeight="1" x14ac:dyDescent="0.2"/>
    <row r="1183" ht="11.85" customHeight="1" x14ac:dyDescent="0.2"/>
    <row r="1184" ht="11.85" customHeight="1" x14ac:dyDescent="0.2"/>
    <row r="1185" ht="11.85" customHeight="1" x14ac:dyDescent="0.2"/>
    <row r="1186" ht="11.85" customHeight="1" x14ac:dyDescent="0.2"/>
    <row r="1187" ht="11.85" customHeight="1" x14ac:dyDescent="0.2"/>
    <row r="1188" ht="11.85" customHeight="1" x14ac:dyDescent="0.2"/>
    <row r="1189" ht="11.85" customHeight="1" x14ac:dyDescent="0.2"/>
    <row r="1190" ht="11.85" customHeight="1" x14ac:dyDescent="0.2"/>
    <row r="1191" ht="11.85" customHeight="1" x14ac:dyDescent="0.2"/>
    <row r="1192" ht="11.85" customHeight="1" x14ac:dyDescent="0.2"/>
    <row r="1193" ht="11.85" customHeight="1" x14ac:dyDescent="0.2"/>
    <row r="1194" ht="11.85" customHeight="1" x14ac:dyDescent="0.2"/>
    <row r="1195" ht="11.85" customHeight="1" x14ac:dyDescent="0.2"/>
    <row r="1196" ht="11.85" customHeight="1" x14ac:dyDescent="0.2"/>
    <row r="1197" ht="11.85" customHeight="1" x14ac:dyDescent="0.2"/>
    <row r="1198" ht="11.85" customHeight="1" x14ac:dyDescent="0.2"/>
    <row r="1199" ht="11.85" customHeight="1" x14ac:dyDescent="0.2"/>
    <row r="1200" ht="11.85" customHeight="1" x14ac:dyDescent="0.2"/>
    <row r="1201" spans="1:20" ht="11.85" customHeight="1" x14ac:dyDescent="0.2"/>
    <row r="1202" spans="1:20" ht="11.85" customHeight="1" x14ac:dyDescent="0.2"/>
    <row r="1203" spans="1:20" ht="11.85" customHeight="1" x14ac:dyDescent="0.2"/>
    <row r="1204" spans="1:20" ht="11.85" customHeight="1" x14ac:dyDescent="0.2"/>
    <row r="1205" spans="1:20" ht="11.85" customHeight="1" x14ac:dyDescent="0.2">
      <c r="A1205" s="1"/>
      <c r="B1205" s="1"/>
      <c r="E1205" s="2" t="str">
        <f>$E$1</f>
        <v>CITY OF BRADY</v>
      </c>
    </row>
    <row r="1206" spans="1:20" ht="11.85" customHeight="1" x14ac:dyDescent="0.2">
      <c r="E1206" s="2" t="str">
        <f>$E$2</f>
        <v>BUDGET REPORT</v>
      </c>
    </row>
    <row r="1207" spans="1:20" ht="11.85" customHeight="1" x14ac:dyDescent="0.2">
      <c r="E1207" s="2" t="str">
        <f>$E$3</f>
        <v>FISCAL YEAR 2024 - 2025</v>
      </c>
    </row>
    <row r="1208" spans="1:20" ht="11.85" customHeight="1" x14ac:dyDescent="0.2">
      <c r="A1208" s="3" t="s">
        <v>3</v>
      </c>
    </row>
    <row r="1209" spans="1:20" ht="11.85" customHeight="1" x14ac:dyDescent="0.2">
      <c r="A1209" s="3" t="s">
        <v>639</v>
      </c>
    </row>
    <row r="1210" spans="1:20" ht="11.85" customHeight="1" x14ac:dyDescent="0.2">
      <c r="I1210" s="53" t="str">
        <f>$I$6</f>
        <v>(----- 2023-2024------)</v>
      </c>
      <c r="J1210" s="53"/>
      <c r="K1210" s="53"/>
      <c r="L1210" s="6"/>
      <c r="M1210" s="54" t="str">
        <f>$M$6</f>
        <v>2024-2025</v>
      </c>
      <c r="N1210" s="54"/>
      <c r="O1210" s="54"/>
      <c r="P1210" s="54"/>
      <c r="Q1210" s="54"/>
    </row>
    <row r="1211" spans="1:20" ht="11.85" customHeight="1" x14ac:dyDescent="0.2">
      <c r="C1211" s="5" t="str">
        <f>$C$7</f>
        <v>2020-2021</v>
      </c>
      <c r="D1211" s="5"/>
      <c r="E1211" s="5" t="str">
        <f>$E$7</f>
        <v>2021-2022</v>
      </c>
      <c r="F1211" s="5"/>
      <c r="G1211" s="5" t="str">
        <f>$G$7</f>
        <v>2022-2023</v>
      </c>
      <c r="H1211" s="5"/>
      <c r="I1211" s="5" t="s">
        <v>9</v>
      </c>
      <c r="J1211" s="5"/>
      <c r="K1211" s="5" t="str">
        <f>+$K$7</f>
        <v>PROJECTED</v>
      </c>
      <c r="L1211" s="6"/>
      <c r="M1211" s="5">
        <f>$M$7</f>
        <v>0</v>
      </c>
      <c r="N1211" s="6"/>
      <c r="O1211" s="5" t="str">
        <f>$O$7</f>
        <v>2024-2025</v>
      </c>
      <c r="P1211" s="6"/>
      <c r="Q1211" s="5" t="str">
        <f>$Q$7</f>
        <v>APPROVED</v>
      </c>
    </row>
    <row r="1212" spans="1:20" ht="11.85" customHeight="1" x14ac:dyDescent="0.2">
      <c r="A1212" s="7" t="s">
        <v>273</v>
      </c>
      <c r="C1212" s="8" t="s">
        <v>12</v>
      </c>
      <c r="D1212" s="5"/>
      <c r="E1212" s="8" t="s">
        <v>12</v>
      </c>
      <c r="F1212" s="5"/>
      <c r="G1212" s="8" t="s">
        <v>12</v>
      </c>
      <c r="H1212" s="5"/>
      <c r="I1212" s="8" t="s">
        <v>13</v>
      </c>
      <c r="J1212" s="5"/>
      <c r="K1212" s="8" t="s">
        <v>13</v>
      </c>
      <c r="L1212" s="6"/>
      <c r="M1212" s="8" t="str">
        <f>$M$8</f>
        <v>BASE</v>
      </c>
      <c r="N1212" s="6"/>
      <c r="O1212" s="8" t="str">
        <f>$O$8</f>
        <v>SUPPLEMENTAL</v>
      </c>
      <c r="P1212" s="6"/>
      <c r="Q1212" s="8" t="str">
        <f>$Q$8</f>
        <v>BUDGET</v>
      </c>
    </row>
    <row r="1213" spans="1:20" ht="11.85" customHeight="1" x14ac:dyDescent="0.2"/>
    <row r="1214" spans="1:20" ht="11.85" customHeight="1" x14ac:dyDescent="0.2">
      <c r="A1214" s="10" t="s">
        <v>274</v>
      </c>
    </row>
    <row r="1215" spans="1:20" ht="11.85" customHeight="1" x14ac:dyDescent="0.2">
      <c r="A1215" s="3" t="s">
        <v>640</v>
      </c>
      <c r="C1215" s="2">
        <v>56855.3</v>
      </c>
      <c r="E1215" s="2">
        <v>0</v>
      </c>
      <c r="G1215" s="2">
        <v>0</v>
      </c>
      <c r="I1215" s="2">
        <v>0</v>
      </c>
      <c r="K1215" s="2">
        <v>0</v>
      </c>
      <c r="L1215" s="9"/>
      <c r="M1215" s="2">
        <v>0</v>
      </c>
      <c r="N1215" s="9"/>
      <c r="O1215" s="2">
        <v>0</v>
      </c>
      <c r="P1215" s="9"/>
      <c r="Q1215" s="2">
        <f t="shared" ref="Q1215:Q1221" si="41">M1215+O1215</f>
        <v>0</v>
      </c>
      <c r="T1215" s="11"/>
    </row>
    <row r="1216" spans="1:20" ht="11.85" customHeight="1" x14ac:dyDescent="0.2">
      <c r="A1216" s="3" t="s">
        <v>641</v>
      </c>
      <c r="C1216" s="2">
        <v>0</v>
      </c>
      <c r="E1216" s="2">
        <v>0</v>
      </c>
      <c r="G1216" s="2">
        <v>0</v>
      </c>
      <c r="I1216" s="2">
        <v>0</v>
      </c>
      <c r="K1216" s="2">
        <v>0</v>
      </c>
      <c r="L1216" s="9"/>
      <c r="M1216" s="2">
        <v>0</v>
      </c>
      <c r="N1216" s="9"/>
      <c r="O1216" s="2">
        <v>0</v>
      </c>
      <c r="P1216" s="9"/>
      <c r="Q1216" s="2">
        <f t="shared" si="41"/>
        <v>0</v>
      </c>
      <c r="T1216" s="11"/>
    </row>
    <row r="1217" spans="1:21" ht="11.85" customHeight="1" x14ac:dyDescent="0.2">
      <c r="A1217" s="3" t="s">
        <v>642</v>
      </c>
      <c r="C1217" s="2">
        <v>13400.8</v>
      </c>
      <c r="E1217" s="2">
        <v>0</v>
      </c>
      <c r="G1217" s="2">
        <v>0</v>
      </c>
      <c r="I1217" s="2">
        <v>0</v>
      </c>
      <c r="K1217" s="2">
        <v>0</v>
      </c>
      <c r="L1217" s="9"/>
      <c r="M1217" s="2">
        <v>0</v>
      </c>
      <c r="N1217" s="9"/>
      <c r="O1217" s="2">
        <v>0</v>
      </c>
      <c r="P1217" s="9"/>
      <c r="Q1217" s="2">
        <f t="shared" si="41"/>
        <v>0</v>
      </c>
      <c r="T1217" s="11"/>
    </row>
    <row r="1218" spans="1:21" ht="11.85" customHeight="1" x14ac:dyDescent="0.2">
      <c r="A1218" s="3" t="s">
        <v>643</v>
      </c>
      <c r="C1218" s="2">
        <v>5538.32</v>
      </c>
      <c r="E1218" s="2">
        <v>0</v>
      </c>
      <c r="G1218" s="2">
        <v>0</v>
      </c>
      <c r="I1218" s="2">
        <v>0</v>
      </c>
      <c r="K1218" s="2">
        <v>0</v>
      </c>
      <c r="L1218" s="9"/>
      <c r="M1218" s="2">
        <v>0</v>
      </c>
      <c r="N1218" s="9"/>
      <c r="O1218" s="2">
        <v>0</v>
      </c>
      <c r="P1218" s="9"/>
      <c r="Q1218" s="2">
        <f t="shared" si="41"/>
        <v>0</v>
      </c>
      <c r="T1218" s="11"/>
    </row>
    <row r="1219" spans="1:21" ht="11.85" customHeight="1" x14ac:dyDescent="0.2">
      <c r="A1219" s="3" t="s">
        <v>644</v>
      </c>
      <c r="C1219" s="2">
        <v>0</v>
      </c>
      <c r="E1219" s="2">
        <v>0</v>
      </c>
      <c r="G1219" s="2">
        <v>0</v>
      </c>
      <c r="I1219" s="2">
        <v>0</v>
      </c>
      <c r="K1219" s="2">
        <v>0</v>
      </c>
      <c r="L1219" s="9"/>
      <c r="M1219" s="2">
        <v>0</v>
      </c>
      <c r="N1219" s="9"/>
      <c r="O1219" s="2">
        <v>0</v>
      </c>
      <c r="P1219" s="9"/>
      <c r="Q1219" s="2">
        <f t="shared" si="41"/>
        <v>0</v>
      </c>
      <c r="T1219" s="11"/>
    </row>
    <row r="1220" spans="1:21" ht="11.85" customHeight="1" x14ac:dyDescent="0.2">
      <c r="A1220" s="3" t="s">
        <v>645</v>
      </c>
      <c r="C1220" s="2">
        <v>0</v>
      </c>
      <c r="E1220" s="2">
        <v>0</v>
      </c>
      <c r="G1220" s="2">
        <v>0</v>
      </c>
      <c r="I1220" s="2">
        <v>0</v>
      </c>
      <c r="K1220" s="2">
        <v>0</v>
      </c>
      <c r="L1220" s="9"/>
      <c r="M1220" s="2">
        <v>0</v>
      </c>
      <c r="N1220" s="9"/>
      <c r="O1220" s="2">
        <v>0</v>
      </c>
      <c r="P1220" s="9"/>
      <c r="Q1220" s="2">
        <f t="shared" si="41"/>
        <v>0</v>
      </c>
      <c r="T1220" s="11"/>
    </row>
    <row r="1221" spans="1:21" ht="11.85" customHeight="1" x14ac:dyDescent="0.2">
      <c r="A1221" s="3" t="s">
        <v>646</v>
      </c>
      <c r="C1221" s="12">
        <v>4137.6000000000004</v>
      </c>
      <c r="E1221" s="12">
        <v>0</v>
      </c>
      <c r="G1221" s="12">
        <v>0</v>
      </c>
      <c r="I1221" s="12">
        <v>0</v>
      </c>
      <c r="K1221" s="12">
        <v>0</v>
      </c>
      <c r="L1221" s="9"/>
      <c r="M1221" s="12">
        <v>0</v>
      </c>
      <c r="N1221" s="9"/>
      <c r="O1221" s="12">
        <v>0</v>
      </c>
      <c r="P1221" s="9"/>
      <c r="Q1221" s="12">
        <f t="shared" si="41"/>
        <v>0</v>
      </c>
      <c r="T1221" s="11"/>
    </row>
    <row r="1222" spans="1:21" ht="11.85" customHeight="1" x14ac:dyDescent="0.2">
      <c r="A1222" s="3" t="s">
        <v>285</v>
      </c>
      <c r="C1222" s="2">
        <f>SUM(C1215:C1221)</f>
        <v>79932.020000000019</v>
      </c>
      <c r="E1222" s="2">
        <f>SUM(E1215:E1221)</f>
        <v>0</v>
      </c>
      <c r="G1222" s="2">
        <f>SUM(G1215:G1221)</f>
        <v>0</v>
      </c>
      <c r="I1222" s="2">
        <f>SUM(I1215:I1221)</f>
        <v>0</v>
      </c>
      <c r="K1222" s="2">
        <f>SUM(K1215:K1221)</f>
        <v>0</v>
      </c>
      <c r="L1222" s="9"/>
      <c r="M1222" s="2">
        <f>SUM(M1215:M1221)</f>
        <v>0</v>
      </c>
      <c r="N1222" s="9"/>
      <c r="O1222" s="2">
        <f>SUM(O1215:O1221)</f>
        <v>0</v>
      </c>
      <c r="P1222" s="9"/>
      <c r="Q1222" s="2">
        <f>SUM(Q1215:Q1221)</f>
        <v>0</v>
      </c>
      <c r="R1222" s="9"/>
      <c r="U1222" s="9"/>
    </row>
    <row r="1223" spans="1:21" ht="11.85" customHeight="1" x14ac:dyDescent="0.2">
      <c r="L1223" s="9"/>
      <c r="N1223" s="9"/>
      <c r="P1223" s="9"/>
    </row>
    <row r="1224" spans="1:21" ht="11.85" customHeight="1" x14ac:dyDescent="0.2">
      <c r="A1224" s="10" t="s">
        <v>286</v>
      </c>
      <c r="L1224" s="9"/>
      <c r="N1224" s="9"/>
      <c r="P1224" s="9"/>
    </row>
    <row r="1225" spans="1:21" ht="11.85" customHeight="1" x14ac:dyDescent="0.2">
      <c r="A1225" s="3" t="s">
        <v>647</v>
      </c>
      <c r="C1225" s="2">
        <v>0</v>
      </c>
      <c r="E1225" s="2">
        <v>0</v>
      </c>
      <c r="G1225" s="2">
        <v>0</v>
      </c>
      <c r="I1225" s="2">
        <v>0</v>
      </c>
      <c r="K1225" s="2">
        <v>0</v>
      </c>
      <c r="L1225" s="9"/>
      <c r="M1225" s="2">
        <v>0</v>
      </c>
      <c r="N1225" s="9"/>
      <c r="O1225" s="2">
        <v>0</v>
      </c>
      <c r="P1225" s="9"/>
      <c r="Q1225" s="2">
        <f t="shared" ref="Q1225:Q1234" si="42">M1225+O1225</f>
        <v>0</v>
      </c>
      <c r="T1225" s="11"/>
    </row>
    <row r="1226" spans="1:21" ht="11.85" customHeight="1" x14ac:dyDescent="0.2">
      <c r="A1226" s="3" t="s">
        <v>648</v>
      </c>
      <c r="C1226" s="2">
        <v>639.04999999999995</v>
      </c>
      <c r="E1226" s="2">
        <v>651.45000000000005</v>
      </c>
      <c r="G1226" s="2">
        <v>666.14</v>
      </c>
      <c r="I1226" s="2">
        <v>700</v>
      </c>
      <c r="K1226" s="2">
        <v>700</v>
      </c>
      <c r="L1226" s="9"/>
      <c r="M1226" s="2">
        <v>700</v>
      </c>
      <c r="N1226" s="9"/>
      <c r="O1226" s="2">
        <v>0</v>
      </c>
      <c r="P1226" s="9"/>
      <c r="Q1226" s="2">
        <f t="shared" si="42"/>
        <v>700</v>
      </c>
      <c r="T1226" s="11"/>
    </row>
    <row r="1227" spans="1:21" ht="11.85" customHeight="1" x14ac:dyDescent="0.2">
      <c r="A1227" s="3" t="s">
        <v>649</v>
      </c>
      <c r="C1227" s="2">
        <v>0</v>
      </c>
      <c r="E1227" s="2">
        <v>0</v>
      </c>
      <c r="G1227" s="2">
        <v>0</v>
      </c>
      <c r="I1227" s="2">
        <v>0</v>
      </c>
      <c r="K1227" s="2">
        <v>0</v>
      </c>
      <c r="L1227" s="9"/>
      <c r="M1227" s="2">
        <v>0</v>
      </c>
      <c r="N1227" s="9"/>
      <c r="O1227" s="2">
        <v>0</v>
      </c>
      <c r="P1227" s="9"/>
      <c r="Q1227" s="2">
        <f t="shared" si="42"/>
        <v>0</v>
      </c>
      <c r="T1227" s="11"/>
    </row>
    <row r="1228" spans="1:21" ht="11.85" customHeight="1" x14ac:dyDescent="0.2">
      <c r="A1228" s="3" t="s">
        <v>650</v>
      </c>
      <c r="C1228" s="2">
        <v>0</v>
      </c>
      <c r="E1228" s="2">
        <v>0</v>
      </c>
      <c r="G1228" s="2">
        <v>0</v>
      </c>
      <c r="I1228" s="2">
        <v>0</v>
      </c>
      <c r="K1228" s="2">
        <v>0</v>
      </c>
      <c r="L1228" s="9"/>
      <c r="M1228" s="2">
        <v>0</v>
      </c>
      <c r="N1228" s="9"/>
      <c r="O1228" s="2">
        <v>0</v>
      </c>
      <c r="P1228" s="9"/>
      <c r="Q1228" s="2">
        <f t="shared" si="42"/>
        <v>0</v>
      </c>
      <c r="T1228" s="11"/>
    </row>
    <row r="1229" spans="1:21" ht="11.85" customHeight="1" x14ac:dyDescent="0.2">
      <c r="A1229" s="3" t="s">
        <v>651</v>
      </c>
      <c r="C1229" s="2">
        <v>0</v>
      </c>
      <c r="E1229" s="2">
        <v>0</v>
      </c>
      <c r="G1229" s="2">
        <v>0</v>
      </c>
      <c r="I1229" s="2">
        <v>0</v>
      </c>
      <c r="K1229" s="2">
        <v>0</v>
      </c>
      <c r="L1229" s="9"/>
      <c r="M1229" s="2">
        <v>0</v>
      </c>
      <c r="N1229" s="9"/>
      <c r="O1229" s="2">
        <v>0</v>
      </c>
      <c r="P1229" s="9"/>
      <c r="Q1229" s="2">
        <f t="shared" si="42"/>
        <v>0</v>
      </c>
      <c r="T1229" s="11"/>
    </row>
    <row r="1230" spans="1:21" ht="11.85" customHeight="1" x14ac:dyDescent="0.2">
      <c r="A1230" s="3" t="s">
        <v>652</v>
      </c>
      <c r="C1230" s="2">
        <v>0</v>
      </c>
      <c r="E1230" s="2">
        <v>0</v>
      </c>
      <c r="G1230" s="2">
        <v>0</v>
      </c>
      <c r="I1230" s="2">
        <v>0</v>
      </c>
      <c r="K1230" s="2">
        <v>0</v>
      </c>
      <c r="L1230" s="9"/>
      <c r="M1230" s="2">
        <v>0</v>
      </c>
      <c r="N1230" s="9"/>
      <c r="O1230" s="2">
        <v>0</v>
      </c>
      <c r="P1230" s="9"/>
      <c r="Q1230" s="2">
        <f t="shared" si="42"/>
        <v>0</v>
      </c>
      <c r="T1230" s="11"/>
    </row>
    <row r="1231" spans="1:21" ht="11.85" customHeight="1" x14ac:dyDescent="0.2">
      <c r="A1231" s="3" t="s">
        <v>653</v>
      </c>
      <c r="C1231" s="2">
        <v>0</v>
      </c>
      <c r="E1231" s="2">
        <v>0</v>
      </c>
      <c r="G1231" s="2">
        <v>0</v>
      </c>
      <c r="I1231" s="2">
        <v>0</v>
      </c>
      <c r="K1231" s="2">
        <v>0</v>
      </c>
      <c r="L1231" s="9"/>
      <c r="M1231" s="2">
        <v>0</v>
      </c>
      <c r="N1231" s="9"/>
      <c r="O1231" s="2">
        <v>0</v>
      </c>
      <c r="P1231" s="9"/>
      <c r="Q1231" s="2">
        <f t="shared" si="42"/>
        <v>0</v>
      </c>
      <c r="T1231" s="11"/>
    </row>
    <row r="1232" spans="1:21" ht="11.85" customHeight="1" x14ac:dyDescent="0.2">
      <c r="A1232" s="3" t="s">
        <v>654</v>
      </c>
      <c r="C1232" s="2">
        <v>234.6</v>
      </c>
      <c r="E1232" s="2">
        <v>234.6</v>
      </c>
      <c r="G1232" s="2">
        <v>174</v>
      </c>
      <c r="I1232" s="2">
        <v>200</v>
      </c>
      <c r="K1232" s="2">
        <v>200</v>
      </c>
      <c r="L1232" s="9"/>
      <c r="M1232" s="2">
        <v>200</v>
      </c>
      <c r="N1232" s="9"/>
      <c r="O1232" s="2">
        <v>0</v>
      </c>
      <c r="P1232" s="9"/>
      <c r="Q1232" s="2">
        <f t="shared" si="42"/>
        <v>200</v>
      </c>
      <c r="T1232" s="11"/>
    </row>
    <row r="1233" spans="1:20" ht="11.85" customHeight="1" x14ac:dyDescent="0.2">
      <c r="A1233" s="3" t="s">
        <v>655</v>
      </c>
      <c r="C1233" s="2">
        <v>0</v>
      </c>
      <c r="E1233" s="2">
        <v>0</v>
      </c>
      <c r="G1233" s="2">
        <v>0</v>
      </c>
      <c r="I1233" s="2">
        <v>0</v>
      </c>
      <c r="K1233" s="2">
        <v>0</v>
      </c>
      <c r="L1233" s="9"/>
      <c r="M1233" s="2">
        <v>0</v>
      </c>
      <c r="N1233" s="9"/>
      <c r="O1233" s="2">
        <v>0</v>
      </c>
      <c r="P1233" s="9"/>
      <c r="Q1233" s="2">
        <f t="shared" si="42"/>
        <v>0</v>
      </c>
      <c r="T1233" s="11"/>
    </row>
    <row r="1234" spans="1:20" ht="11.85" customHeight="1" x14ac:dyDescent="0.2">
      <c r="A1234" s="3" t="s">
        <v>656</v>
      </c>
      <c r="C1234" s="12">
        <v>0</v>
      </c>
      <c r="E1234" s="12">
        <v>0</v>
      </c>
      <c r="G1234" s="12">
        <v>0</v>
      </c>
      <c r="I1234" s="12">
        <v>0</v>
      </c>
      <c r="K1234" s="12">
        <v>0</v>
      </c>
      <c r="L1234" s="9"/>
      <c r="M1234" s="12">
        <v>0</v>
      </c>
      <c r="N1234" s="9"/>
      <c r="O1234" s="12">
        <v>0</v>
      </c>
      <c r="P1234" s="9"/>
      <c r="Q1234" s="12">
        <f t="shared" si="42"/>
        <v>0</v>
      </c>
      <c r="T1234" s="11"/>
    </row>
    <row r="1235" spans="1:20" ht="11.85" customHeight="1" x14ac:dyDescent="0.2">
      <c r="A1235" s="3" t="s">
        <v>304</v>
      </c>
      <c r="C1235" s="2">
        <f>SUM(C1225:C1234)</f>
        <v>873.65</v>
      </c>
      <c r="E1235" s="2">
        <f>SUM(E1225:E1234)</f>
        <v>886.05000000000007</v>
      </c>
      <c r="G1235" s="2">
        <f>SUM(G1225:G1234)</f>
        <v>840.14</v>
      </c>
      <c r="I1235" s="2">
        <f>SUM(I1225:I1234)</f>
        <v>900</v>
      </c>
      <c r="K1235" s="2">
        <f>SUM(K1225:K1234)</f>
        <v>900</v>
      </c>
      <c r="L1235" s="9"/>
      <c r="M1235" s="2">
        <f>SUM(M1225:M1234)</f>
        <v>900</v>
      </c>
      <c r="N1235" s="9"/>
      <c r="O1235" s="2">
        <f>SUM(O1225:O1234)</f>
        <v>0</v>
      </c>
      <c r="P1235" s="9"/>
      <c r="Q1235" s="2">
        <f>SUM(Q1225:Q1234)</f>
        <v>900</v>
      </c>
      <c r="T1235" s="14"/>
    </row>
    <row r="1236" spans="1:20" ht="11.85" customHeight="1" x14ac:dyDescent="0.2"/>
    <row r="1237" spans="1:20" ht="11.85" customHeight="1" x14ac:dyDescent="0.2">
      <c r="A1237" s="10" t="s">
        <v>305</v>
      </c>
    </row>
    <row r="1238" spans="1:20" ht="11.85" customHeight="1" x14ac:dyDescent="0.2">
      <c r="A1238" s="3" t="s">
        <v>657</v>
      </c>
      <c r="B1238" s="9"/>
      <c r="C1238" s="2">
        <v>0</v>
      </c>
      <c r="E1238" s="2">
        <v>0</v>
      </c>
      <c r="G1238" s="2">
        <v>0</v>
      </c>
      <c r="I1238" s="2">
        <v>0</v>
      </c>
      <c r="K1238" s="2">
        <v>0</v>
      </c>
      <c r="L1238" s="9"/>
      <c r="M1238" s="2">
        <v>0</v>
      </c>
      <c r="N1238" s="9"/>
      <c r="O1238" s="2">
        <v>0</v>
      </c>
      <c r="P1238" s="9"/>
      <c r="Q1238" s="2">
        <f t="shared" ref="Q1238:Q1250" si="43">M1238+O1238</f>
        <v>0</v>
      </c>
      <c r="T1238" s="11"/>
    </row>
    <row r="1239" spans="1:20" ht="11.85" customHeight="1" x14ac:dyDescent="0.2">
      <c r="A1239" s="3" t="s">
        <v>658</v>
      </c>
      <c r="B1239" s="9"/>
      <c r="C1239" s="2">
        <v>911</v>
      </c>
      <c r="E1239" s="2">
        <v>500</v>
      </c>
      <c r="G1239" s="2">
        <v>0</v>
      </c>
      <c r="I1239" s="2">
        <v>2000</v>
      </c>
      <c r="K1239" s="2">
        <v>0</v>
      </c>
      <c r="L1239" s="9"/>
      <c r="M1239" s="2">
        <v>2000</v>
      </c>
      <c r="N1239" s="9"/>
      <c r="O1239" s="2">
        <v>0</v>
      </c>
      <c r="P1239" s="9"/>
      <c r="Q1239" s="2">
        <f t="shared" si="43"/>
        <v>2000</v>
      </c>
      <c r="T1239" s="11"/>
    </row>
    <row r="1240" spans="1:20" ht="11.85" customHeight="1" x14ac:dyDescent="0.2">
      <c r="A1240" s="3" t="s">
        <v>659</v>
      </c>
      <c r="B1240" s="9"/>
      <c r="C1240" s="2">
        <v>292</v>
      </c>
      <c r="E1240" s="2">
        <v>2936.04</v>
      </c>
      <c r="G1240" s="2">
        <v>0</v>
      </c>
      <c r="I1240" s="2">
        <v>2000</v>
      </c>
      <c r="K1240" s="2">
        <v>2000</v>
      </c>
      <c r="L1240" s="9"/>
      <c r="M1240" s="2">
        <v>2000</v>
      </c>
      <c r="N1240" s="9"/>
      <c r="O1240" s="2">
        <v>0</v>
      </c>
      <c r="P1240" s="9"/>
      <c r="Q1240" s="2">
        <f t="shared" si="43"/>
        <v>2000</v>
      </c>
      <c r="T1240" s="11"/>
    </row>
    <row r="1241" spans="1:20" ht="11.85" customHeight="1" x14ac:dyDescent="0.2">
      <c r="A1241" s="3" t="s">
        <v>660</v>
      </c>
      <c r="B1241" s="9"/>
      <c r="C1241" s="2">
        <v>0</v>
      </c>
      <c r="E1241" s="2">
        <v>0</v>
      </c>
      <c r="G1241" s="2">
        <v>0</v>
      </c>
      <c r="I1241" s="2">
        <v>0</v>
      </c>
      <c r="K1241" s="2">
        <v>0</v>
      </c>
      <c r="L1241" s="9"/>
      <c r="M1241" s="2">
        <v>0</v>
      </c>
      <c r="N1241" s="9"/>
      <c r="O1241" s="2">
        <v>0</v>
      </c>
      <c r="P1241" s="9"/>
      <c r="Q1241" s="2">
        <f t="shared" si="43"/>
        <v>0</v>
      </c>
      <c r="T1241" s="11"/>
    </row>
    <row r="1242" spans="1:20" ht="11.85" customHeight="1" x14ac:dyDescent="0.2">
      <c r="A1242" s="3" t="s">
        <v>661</v>
      </c>
      <c r="B1242" s="9"/>
      <c r="C1242" s="2">
        <v>0</v>
      </c>
      <c r="E1242" s="2">
        <v>0</v>
      </c>
      <c r="G1242" s="2">
        <v>0</v>
      </c>
      <c r="I1242" s="2">
        <v>500</v>
      </c>
      <c r="K1242" s="2">
        <v>500</v>
      </c>
      <c r="L1242" s="9"/>
      <c r="M1242" s="2">
        <v>500</v>
      </c>
      <c r="N1242" s="9"/>
      <c r="O1242" s="2">
        <v>0</v>
      </c>
      <c r="P1242" s="9"/>
      <c r="Q1242" s="2">
        <f t="shared" si="43"/>
        <v>500</v>
      </c>
      <c r="T1242" s="11"/>
    </row>
    <row r="1243" spans="1:20" ht="11.85" customHeight="1" x14ac:dyDescent="0.2">
      <c r="A1243" s="3" t="s">
        <v>662</v>
      </c>
      <c r="B1243" s="9"/>
      <c r="C1243" s="2">
        <v>0</v>
      </c>
      <c r="E1243" s="2">
        <v>0</v>
      </c>
      <c r="G1243" s="2">
        <v>0</v>
      </c>
      <c r="I1243" s="2">
        <v>1000</v>
      </c>
      <c r="K1243" s="2">
        <v>1000</v>
      </c>
      <c r="L1243" s="9"/>
      <c r="M1243" s="2">
        <v>1000</v>
      </c>
      <c r="N1243" s="9"/>
      <c r="O1243" s="2">
        <v>0</v>
      </c>
      <c r="P1243" s="9"/>
      <c r="Q1243" s="2">
        <f t="shared" si="43"/>
        <v>1000</v>
      </c>
      <c r="T1243" s="11"/>
    </row>
    <row r="1244" spans="1:20" ht="11.85" customHeight="1" x14ac:dyDescent="0.2">
      <c r="A1244" s="3" t="s">
        <v>663</v>
      </c>
      <c r="B1244" s="9"/>
      <c r="C1244" s="2">
        <v>17065.509999999998</v>
      </c>
      <c r="E1244" s="2">
        <v>371.87</v>
      </c>
      <c r="G1244" s="2">
        <v>0</v>
      </c>
      <c r="I1244" s="2">
        <v>0</v>
      </c>
      <c r="K1244" s="2">
        <v>0</v>
      </c>
      <c r="L1244" s="9"/>
      <c r="M1244" s="2">
        <v>0</v>
      </c>
      <c r="N1244" s="9"/>
      <c r="O1244" s="2">
        <v>0</v>
      </c>
      <c r="P1244" s="9"/>
      <c r="Q1244" s="2">
        <f t="shared" si="43"/>
        <v>0</v>
      </c>
      <c r="T1244" s="11"/>
    </row>
    <row r="1245" spans="1:20" ht="11.85" customHeight="1" x14ac:dyDescent="0.2">
      <c r="A1245" s="3" t="s">
        <v>664</v>
      </c>
      <c r="B1245" s="9"/>
      <c r="C1245" s="2">
        <v>1972.14</v>
      </c>
      <c r="E1245" s="2">
        <v>14377.73</v>
      </c>
      <c r="G1245" s="2">
        <v>7669</v>
      </c>
      <c r="I1245" s="2">
        <v>10000</v>
      </c>
      <c r="K1245" s="2">
        <v>10000</v>
      </c>
      <c r="L1245" s="9"/>
      <c r="M1245" s="2">
        <v>10000</v>
      </c>
      <c r="N1245" s="9"/>
      <c r="O1245" s="2">
        <v>0</v>
      </c>
      <c r="P1245" s="9"/>
      <c r="Q1245" s="2">
        <f t="shared" si="43"/>
        <v>10000</v>
      </c>
      <c r="T1245" s="11"/>
    </row>
    <row r="1246" spans="1:20" ht="11.85" customHeight="1" x14ac:dyDescent="0.2">
      <c r="A1246" s="3" t="s">
        <v>665</v>
      </c>
      <c r="B1246" s="9"/>
      <c r="C1246" s="2">
        <v>46.97</v>
      </c>
      <c r="E1246" s="2">
        <v>0</v>
      </c>
      <c r="G1246" s="2">
        <v>0</v>
      </c>
      <c r="I1246" s="2">
        <v>0</v>
      </c>
      <c r="K1246" s="2">
        <v>0</v>
      </c>
      <c r="L1246" s="9"/>
      <c r="M1246" s="2">
        <v>0</v>
      </c>
      <c r="N1246" s="9"/>
      <c r="O1246" s="2">
        <v>0</v>
      </c>
      <c r="P1246" s="9"/>
      <c r="Q1246" s="2">
        <f t="shared" si="43"/>
        <v>0</v>
      </c>
      <c r="T1246" s="11"/>
    </row>
    <row r="1247" spans="1:20" ht="11.85" customHeight="1" x14ac:dyDescent="0.2">
      <c r="A1247" s="3" t="s">
        <v>666</v>
      </c>
      <c r="B1247" s="9"/>
      <c r="C1247" s="2">
        <v>0</v>
      </c>
      <c r="E1247" s="2">
        <v>0</v>
      </c>
      <c r="G1247" s="2">
        <v>0</v>
      </c>
      <c r="I1247" s="2">
        <v>0</v>
      </c>
      <c r="K1247" s="2">
        <v>0</v>
      </c>
      <c r="L1247" s="9"/>
      <c r="M1247" s="2">
        <v>0</v>
      </c>
      <c r="N1247" s="9"/>
      <c r="O1247" s="2">
        <v>0</v>
      </c>
      <c r="P1247" s="9"/>
      <c r="Q1247" s="2">
        <f t="shared" si="43"/>
        <v>0</v>
      </c>
      <c r="T1247" s="11"/>
    </row>
    <row r="1248" spans="1:20" ht="11.85" customHeight="1" x14ac:dyDescent="0.2">
      <c r="A1248" s="3" t="s">
        <v>667</v>
      </c>
      <c r="B1248" s="9"/>
      <c r="C1248" s="2">
        <v>0</v>
      </c>
      <c r="E1248" s="2">
        <v>0</v>
      </c>
      <c r="G1248" s="2">
        <v>0</v>
      </c>
      <c r="I1248" s="2">
        <v>0</v>
      </c>
      <c r="K1248" s="2">
        <v>0</v>
      </c>
      <c r="L1248" s="9"/>
      <c r="M1248" s="2">
        <v>0</v>
      </c>
      <c r="N1248" s="9"/>
      <c r="O1248" s="2">
        <v>0</v>
      </c>
      <c r="P1248" s="9"/>
      <c r="Q1248" s="2">
        <f t="shared" si="43"/>
        <v>0</v>
      </c>
      <c r="T1248" s="11"/>
    </row>
    <row r="1249" spans="1:20" ht="11.85" customHeight="1" x14ac:dyDescent="0.2">
      <c r="A1249" s="3" t="s">
        <v>668</v>
      </c>
      <c r="B1249" s="9"/>
      <c r="C1249" s="2">
        <v>0</v>
      </c>
      <c r="E1249" s="2">
        <v>0</v>
      </c>
      <c r="G1249" s="2">
        <v>0</v>
      </c>
      <c r="I1249" s="2">
        <v>0</v>
      </c>
      <c r="K1249" s="2">
        <v>0</v>
      </c>
      <c r="L1249" s="9"/>
      <c r="M1249" s="2">
        <v>0</v>
      </c>
      <c r="N1249" s="9"/>
      <c r="O1249" s="2">
        <v>0</v>
      </c>
      <c r="P1249" s="9"/>
      <c r="Q1249" s="2">
        <f t="shared" si="43"/>
        <v>0</v>
      </c>
      <c r="T1249" s="11"/>
    </row>
    <row r="1250" spans="1:20" ht="11.85" customHeight="1" x14ac:dyDescent="0.2">
      <c r="A1250" s="3" t="s">
        <v>669</v>
      </c>
      <c r="B1250" s="9"/>
      <c r="C1250" s="12">
        <v>0</v>
      </c>
      <c r="E1250" s="12">
        <v>0</v>
      </c>
      <c r="G1250" s="12">
        <v>0</v>
      </c>
      <c r="I1250" s="12">
        <v>0</v>
      </c>
      <c r="K1250" s="12">
        <v>0</v>
      </c>
      <c r="L1250" s="9"/>
      <c r="M1250" s="12">
        <v>0</v>
      </c>
      <c r="N1250" s="9"/>
      <c r="O1250" s="12">
        <v>0</v>
      </c>
      <c r="P1250" s="9"/>
      <c r="Q1250" s="12">
        <f t="shared" si="43"/>
        <v>0</v>
      </c>
      <c r="T1250" s="11"/>
    </row>
    <row r="1251" spans="1:20" ht="11.85" customHeight="1" x14ac:dyDescent="0.2">
      <c r="A1251" s="3" t="s">
        <v>328</v>
      </c>
      <c r="B1251" s="9"/>
      <c r="C1251" s="2">
        <f>SUM(C1238:C1250)</f>
        <v>20287.62</v>
      </c>
      <c r="E1251" s="2">
        <f>SUM(E1238:E1250)</f>
        <v>18185.64</v>
      </c>
      <c r="G1251" s="2">
        <f>SUM(G1238:G1250)</f>
        <v>7669</v>
      </c>
      <c r="I1251" s="2">
        <f>SUM(I1238:I1250)</f>
        <v>15500</v>
      </c>
      <c r="K1251" s="2">
        <f>SUM(K1238:K1250)</f>
        <v>13500</v>
      </c>
      <c r="L1251" s="9"/>
      <c r="M1251" s="2">
        <f>SUM(M1238:M1250)</f>
        <v>15500</v>
      </c>
      <c r="N1251" s="9"/>
      <c r="O1251" s="2">
        <f>SUM(O1238:O1250)</f>
        <v>0</v>
      </c>
      <c r="P1251" s="9"/>
      <c r="Q1251" s="2">
        <f>SUM(Q1238:Q1250)</f>
        <v>15500</v>
      </c>
      <c r="T1251" s="14"/>
    </row>
    <row r="1252" spans="1:20" ht="11.45" customHeight="1" x14ac:dyDescent="0.2">
      <c r="B1252" s="9"/>
      <c r="L1252" s="9"/>
      <c r="N1252" s="9"/>
      <c r="P1252" s="9"/>
    </row>
    <row r="1253" spans="1:20" ht="11.25" customHeight="1" x14ac:dyDescent="0.2">
      <c r="A1253" s="3" t="s">
        <v>670</v>
      </c>
      <c r="B1253" s="9"/>
      <c r="C1253" s="2">
        <v>0</v>
      </c>
      <c r="E1253" s="2">
        <v>0</v>
      </c>
      <c r="G1253" s="2">
        <v>0</v>
      </c>
      <c r="I1253" s="2">
        <v>0</v>
      </c>
      <c r="K1253" s="2">
        <v>0</v>
      </c>
      <c r="L1253" s="9"/>
      <c r="M1253" s="2">
        <v>0</v>
      </c>
      <c r="N1253" s="9"/>
      <c r="O1253" s="2">
        <v>0</v>
      </c>
      <c r="P1253" s="9"/>
      <c r="Q1253" s="2">
        <f>M1253+O1253</f>
        <v>0</v>
      </c>
      <c r="T1253" s="11"/>
    </row>
    <row r="1254" spans="1:20" ht="11.25" customHeight="1" x14ac:dyDescent="0.2">
      <c r="A1254" s="3" t="s">
        <v>671</v>
      </c>
      <c r="B1254" s="9"/>
      <c r="C1254" s="12">
        <v>0</v>
      </c>
      <c r="E1254" s="12">
        <v>0</v>
      </c>
      <c r="G1254" s="12">
        <v>0</v>
      </c>
      <c r="I1254" s="12">
        <v>0</v>
      </c>
      <c r="K1254" s="12">
        <v>0</v>
      </c>
      <c r="L1254" s="9"/>
      <c r="M1254" s="12">
        <v>0</v>
      </c>
      <c r="N1254" s="9"/>
      <c r="O1254" s="12">
        <v>0</v>
      </c>
      <c r="P1254" s="9"/>
      <c r="Q1254" s="12">
        <f>M1254+O1254</f>
        <v>0</v>
      </c>
      <c r="T1254" s="11"/>
    </row>
    <row r="1255" spans="1:20" ht="11.85" customHeight="1" x14ac:dyDescent="0.2">
      <c r="A1255" s="3" t="s">
        <v>331</v>
      </c>
      <c r="B1255" s="9"/>
      <c r="C1255" s="2">
        <f>SUM(C1253:C1254)</f>
        <v>0</v>
      </c>
      <c r="E1255" s="2">
        <f>SUM(E1253:E1254)</f>
        <v>0</v>
      </c>
      <c r="G1255" s="2">
        <f>SUM(G1253:G1254)</f>
        <v>0</v>
      </c>
      <c r="I1255" s="2">
        <f>SUM(I1253:I1254)</f>
        <v>0</v>
      </c>
      <c r="K1255" s="2">
        <f>SUM(K1253:K1254)</f>
        <v>0</v>
      </c>
      <c r="L1255" s="9"/>
      <c r="M1255" s="2">
        <f>SUM(M1253:M1254)</f>
        <v>0</v>
      </c>
      <c r="N1255" s="9"/>
      <c r="O1255" s="2">
        <f>SUM(O1253:O1254)</f>
        <v>0</v>
      </c>
      <c r="P1255" s="9"/>
      <c r="Q1255" s="2">
        <f>SUM(Q1253:Q1254)</f>
        <v>0</v>
      </c>
    </row>
    <row r="1256" spans="1:20" ht="11.85" customHeight="1" x14ac:dyDescent="0.2">
      <c r="B1256" s="9"/>
      <c r="L1256" s="9"/>
      <c r="N1256" s="9"/>
      <c r="P1256" s="9"/>
    </row>
    <row r="1257" spans="1:20" ht="11.85" customHeight="1" x14ac:dyDescent="0.2">
      <c r="A1257" s="3" t="s">
        <v>672</v>
      </c>
      <c r="B1257" s="9"/>
      <c r="C1257" s="2">
        <f>C1222+C1235+C1251+C1255</f>
        <v>101093.29000000001</v>
      </c>
      <c r="E1257" s="2">
        <f>E1222+E1235+E1251+E1255</f>
        <v>19071.689999999999</v>
      </c>
      <c r="G1257" s="2">
        <f>G1222+G1235+G1251+G1255</f>
        <v>8509.14</v>
      </c>
      <c r="I1257" s="2">
        <f>I1222+I1235+I1251+I1255</f>
        <v>16400</v>
      </c>
      <c r="K1257" s="2">
        <f>K1222+K1235+K1251+K1255</f>
        <v>14400</v>
      </c>
      <c r="L1257" s="9"/>
      <c r="M1257" s="2">
        <f>M1222+M1235+M1251+M1255</f>
        <v>16400</v>
      </c>
      <c r="N1257" s="9"/>
      <c r="O1257" s="2">
        <f>O1222+O1235+O1251+O1255</f>
        <v>0</v>
      </c>
      <c r="P1257" s="9"/>
      <c r="Q1257" s="2">
        <f>Q1222+Q1235+Q1251+Q1255</f>
        <v>16400</v>
      </c>
      <c r="R1257" s="32"/>
      <c r="T1257" s="11"/>
    </row>
    <row r="1258" spans="1:20" ht="11.85" customHeight="1" x14ac:dyDescent="0.2">
      <c r="B1258" s="9"/>
      <c r="L1258" s="9"/>
      <c r="N1258" s="9"/>
      <c r="P1258" s="9"/>
    </row>
    <row r="1259" spans="1:20" ht="11.85" customHeight="1" x14ac:dyDescent="0.2">
      <c r="B1259" s="9"/>
      <c r="L1259" s="9"/>
      <c r="N1259" s="9"/>
      <c r="P1259" s="9"/>
    </row>
    <row r="1260" spans="1:20" ht="11.85" customHeight="1" x14ac:dyDescent="0.2">
      <c r="B1260" s="9"/>
      <c r="L1260" s="9"/>
      <c r="N1260" s="9"/>
      <c r="P1260" s="9"/>
    </row>
    <row r="1261" spans="1:20" ht="11.85" customHeight="1" x14ac:dyDescent="0.2">
      <c r="B1261" s="9"/>
      <c r="L1261" s="9"/>
      <c r="N1261" s="9"/>
      <c r="P1261" s="9"/>
    </row>
    <row r="1262" spans="1:20" ht="11.85" customHeight="1" x14ac:dyDescent="0.2">
      <c r="B1262" s="9"/>
      <c r="L1262" s="9"/>
      <c r="N1262" s="9"/>
      <c r="P1262" s="9"/>
    </row>
    <row r="1263" spans="1:20" ht="11.85" customHeight="1" x14ac:dyDescent="0.2">
      <c r="B1263" s="9"/>
      <c r="L1263" s="9"/>
      <c r="N1263" s="9"/>
      <c r="P1263" s="9"/>
    </row>
    <row r="1264" spans="1:20" ht="11.85" customHeight="1" x14ac:dyDescent="0.2">
      <c r="B1264" s="9"/>
      <c r="L1264" s="9"/>
      <c r="N1264" s="9"/>
      <c r="P1264" s="9"/>
    </row>
    <row r="1265" spans="1:17" ht="11.85" customHeight="1" x14ac:dyDescent="0.2">
      <c r="B1265" s="9"/>
      <c r="L1265" s="9"/>
      <c r="N1265" s="9"/>
      <c r="P1265" s="9"/>
    </row>
    <row r="1266" spans="1:17" ht="11.85" customHeight="1" x14ac:dyDescent="0.2">
      <c r="B1266" s="9"/>
      <c r="L1266" s="9"/>
      <c r="N1266" s="9"/>
      <c r="P1266" s="9"/>
    </row>
    <row r="1267" spans="1:17" ht="11.85" customHeight="1" x14ac:dyDescent="0.2">
      <c r="B1267" s="9"/>
      <c r="L1267" s="9"/>
      <c r="N1267" s="9"/>
      <c r="P1267" s="9"/>
    </row>
    <row r="1268" spans="1:17" ht="11.85" customHeight="1" x14ac:dyDescent="0.2">
      <c r="B1268" s="9"/>
      <c r="L1268" s="9"/>
      <c r="N1268" s="9"/>
      <c r="P1268" s="9"/>
    </row>
    <row r="1269" spans="1:17" ht="11.85" customHeight="1" x14ac:dyDescent="0.2">
      <c r="B1269" s="9"/>
      <c r="L1269" s="9"/>
      <c r="N1269" s="9"/>
      <c r="P1269" s="9"/>
    </row>
    <row r="1270" spans="1:17" ht="11.85" customHeight="1" x14ac:dyDescent="0.2">
      <c r="B1270" s="9"/>
      <c r="L1270" s="9"/>
      <c r="N1270" s="9"/>
      <c r="P1270" s="9"/>
    </row>
    <row r="1271" spans="1:17" ht="11.85" customHeight="1" x14ac:dyDescent="0.2">
      <c r="A1271" s="1"/>
      <c r="B1271" s="1"/>
      <c r="E1271" s="2" t="str">
        <f>$E$1</f>
        <v>CITY OF BRADY</v>
      </c>
    </row>
    <row r="1272" spans="1:17" ht="11.85" customHeight="1" x14ac:dyDescent="0.2">
      <c r="E1272" s="2" t="str">
        <f>$E$2</f>
        <v>BUDGET REPORT</v>
      </c>
    </row>
    <row r="1273" spans="1:17" ht="11.85" customHeight="1" x14ac:dyDescent="0.2">
      <c r="E1273" s="2" t="str">
        <f>$E$3</f>
        <v>FISCAL YEAR 2024 - 2025</v>
      </c>
    </row>
    <row r="1274" spans="1:17" ht="11.85" customHeight="1" x14ac:dyDescent="0.2">
      <c r="A1274" s="3" t="s">
        <v>3</v>
      </c>
    </row>
    <row r="1275" spans="1:17" ht="11.85" customHeight="1" x14ac:dyDescent="0.2">
      <c r="A1275" s="3" t="s">
        <v>673</v>
      </c>
    </row>
    <row r="1276" spans="1:17" ht="11.85" customHeight="1" x14ac:dyDescent="0.2">
      <c r="A1276" s="32" t="s">
        <v>674</v>
      </c>
      <c r="I1276" s="53" t="str">
        <f>$I$6</f>
        <v>(----- 2023-2024------)</v>
      </c>
      <c r="J1276" s="53"/>
      <c r="K1276" s="53"/>
      <c r="L1276" s="6"/>
      <c r="M1276" s="54" t="str">
        <f>$M$6</f>
        <v>2024-2025</v>
      </c>
      <c r="N1276" s="54"/>
      <c r="O1276" s="54"/>
      <c r="P1276" s="54"/>
      <c r="Q1276" s="54"/>
    </row>
    <row r="1277" spans="1:17" ht="11.85" customHeight="1" x14ac:dyDescent="0.2">
      <c r="C1277" s="5" t="str">
        <f>$C$7</f>
        <v>2020-2021</v>
      </c>
      <c r="D1277" s="5"/>
      <c r="E1277" s="5" t="str">
        <f>$E$7</f>
        <v>2021-2022</v>
      </c>
      <c r="F1277" s="5"/>
      <c r="G1277" s="5" t="str">
        <f>$G$7</f>
        <v>2022-2023</v>
      </c>
      <c r="H1277" s="5"/>
      <c r="I1277" s="5" t="s">
        <v>9</v>
      </c>
      <c r="J1277" s="5"/>
      <c r="K1277" s="5" t="str">
        <f>+$K$7</f>
        <v>PROJECTED</v>
      </c>
      <c r="L1277" s="6"/>
      <c r="M1277" s="5">
        <f>$M$7</f>
        <v>0</v>
      </c>
      <c r="N1277" s="6"/>
      <c r="O1277" s="5" t="str">
        <f>$O$7</f>
        <v>2024-2025</v>
      </c>
      <c r="P1277" s="6"/>
      <c r="Q1277" s="5" t="str">
        <f>$Q$7</f>
        <v>APPROVED</v>
      </c>
    </row>
    <row r="1278" spans="1:17" ht="11.85" customHeight="1" x14ac:dyDescent="0.2">
      <c r="A1278" s="7" t="s">
        <v>273</v>
      </c>
      <c r="C1278" s="8" t="s">
        <v>12</v>
      </c>
      <c r="D1278" s="5"/>
      <c r="E1278" s="8" t="s">
        <v>12</v>
      </c>
      <c r="F1278" s="5"/>
      <c r="G1278" s="8" t="s">
        <v>12</v>
      </c>
      <c r="H1278" s="5"/>
      <c r="I1278" s="8" t="s">
        <v>13</v>
      </c>
      <c r="J1278" s="5"/>
      <c r="K1278" s="8" t="s">
        <v>13</v>
      </c>
      <c r="L1278" s="6"/>
      <c r="M1278" s="8" t="str">
        <f>$M$8</f>
        <v>BASE</v>
      </c>
      <c r="N1278" s="6"/>
      <c r="O1278" s="8" t="str">
        <f>$O$8</f>
        <v>SUPPLEMENTAL</v>
      </c>
      <c r="P1278" s="6"/>
      <c r="Q1278" s="8" t="str">
        <f>$Q$8</f>
        <v>BUDGET</v>
      </c>
    </row>
    <row r="1279" spans="1:17" ht="11.85" customHeight="1" x14ac:dyDescent="0.2"/>
    <row r="1280" spans="1:17" ht="11.85" customHeight="1" x14ac:dyDescent="0.2">
      <c r="A1280" s="10" t="s">
        <v>274</v>
      </c>
    </row>
    <row r="1281" spans="1:21" ht="11.85" customHeight="1" x14ac:dyDescent="0.2">
      <c r="A1281" s="3" t="s">
        <v>675</v>
      </c>
      <c r="C1281" s="2">
        <v>0</v>
      </c>
      <c r="E1281" s="2">
        <v>0</v>
      </c>
      <c r="G1281" s="2">
        <v>0</v>
      </c>
      <c r="I1281" s="2">
        <v>0</v>
      </c>
      <c r="K1281" s="2">
        <v>0</v>
      </c>
      <c r="L1281" s="9"/>
      <c r="M1281" s="2">
        <v>0</v>
      </c>
      <c r="N1281" s="9"/>
      <c r="O1281" s="2">
        <v>0</v>
      </c>
      <c r="P1281" s="9"/>
      <c r="Q1281" s="2">
        <f t="shared" ref="Q1281:Q1289" si="44">M1281+O1281</f>
        <v>0</v>
      </c>
      <c r="T1281" s="11"/>
    </row>
    <row r="1282" spans="1:21" ht="11.85" customHeight="1" x14ac:dyDescent="0.2">
      <c r="A1282" s="3" t="s">
        <v>676</v>
      </c>
      <c r="C1282" s="2">
        <v>0</v>
      </c>
      <c r="E1282" s="2">
        <v>0</v>
      </c>
      <c r="G1282" s="2">
        <v>0</v>
      </c>
      <c r="I1282" s="2">
        <v>0</v>
      </c>
      <c r="K1282" s="2">
        <v>0</v>
      </c>
      <c r="L1282" s="9"/>
      <c r="M1282" s="2">
        <v>0</v>
      </c>
      <c r="N1282" s="9"/>
      <c r="O1282" s="2">
        <v>0</v>
      </c>
      <c r="P1282" s="9"/>
      <c r="Q1282" s="2">
        <f t="shared" si="44"/>
        <v>0</v>
      </c>
      <c r="T1282" s="11"/>
    </row>
    <row r="1283" spans="1:21" ht="11.85" customHeight="1" x14ac:dyDescent="0.2">
      <c r="A1283" s="3" t="s">
        <v>677</v>
      </c>
      <c r="C1283" s="2">
        <v>0</v>
      </c>
      <c r="E1283" s="2">
        <v>0</v>
      </c>
      <c r="G1283" s="2">
        <v>0</v>
      </c>
      <c r="I1283" s="2">
        <v>0</v>
      </c>
      <c r="K1283" s="2">
        <v>0</v>
      </c>
      <c r="L1283" s="9"/>
      <c r="M1283" s="2">
        <v>0</v>
      </c>
      <c r="N1283" s="9"/>
      <c r="O1283" s="2">
        <v>0</v>
      </c>
      <c r="P1283" s="9"/>
      <c r="Q1283" s="2">
        <f t="shared" si="44"/>
        <v>0</v>
      </c>
      <c r="T1283" s="11"/>
    </row>
    <row r="1284" spans="1:21" ht="11.85" hidden="1" customHeight="1" x14ac:dyDescent="0.2">
      <c r="A1284" s="3" t="s">
        <v>678</v>
      </c>
      <c r="C1284" s="2">
        <v>0</v>
      </c>
      <c r="E1284" s="2">
        <v>0</v>
      </c>
      <c r="G1284" s="2">
        <v>0</v>
      </c>
      <c r="I1284" s="2">
        <v>0</v>
      </c>
      <c r="K1284" s="2">
        <v>0</v>
      </c>
      <c r="L1284" s="9"/>
      <c r="M1284" s="2">
        <v>0</v>
      </c>
      <c r="N1284" s="9"/>
      <c r="O1284" s="2">
        <v>0</v>
      </c>
      <c r="P1284" s="9"/>
      <c r="Q1284" s="2">
        <f>M1284+O1284</f>
        <v>0</v>
      </c>
      <c r="T1284" s="11"/>
    </row>
    <row r="1285" spans="1:21" ht="11.85" customHeight="1" x14ac:dyDescent="0.2">
      <c r="A1285" s="3" t="s">
        <v>679</v>
      </c>
      <c r="C1285" s="2">
        <v>0</v>
      </c>
      <c r="E1285" s="2">
        <v>0</v>
      </c>
      <c r="G1285" s="2">
        <v>0</v>
      </c>
      <c r="I1285" s="2">
        <v>0</v>
      </c>
      <c r="K1285" s="2">
        <v>0</v>
      </c>
      <c r="L1285" s="9"/>
      <c r="M1285" s="2">
        <v>0</v>
      </c>
      <c r="N1285" s="9"/>
      <c r="O1285" s="2">
        <v>0</v>
      </c>
      <c r="P1285" s="9"/>
      <c r="Q1285" s="2">
        <f t="shared" si="44"/>
        <v>0</v>
      </c>
      <c r="T1285" s="11"/>
    </row>
    <row r="1286" spans="1:21" ht="11.85" customHeight="1" x14ac:dyDescent="0.2">
      <c r="A1286" s="3" t="s">
        <v>680</v>
      </c>
      <c r="C1286" s="2">
        <v>0</v>
      </c>
      <c r="E1286" s="2">
        <v>0</v>
      </c>
      <c r="G1286" s="2">
        <v>0</v>
      </c>
      <c r="I1286" s="2">
        <v>0</v>
      </c>
      <c r="K1286" s="2">
        <v>0</v>
      </c>
      <c r="L1286" s="9"/>
      <c r="M1286" s="2">
        <v>0</v>
      </c>
      <c r="N1286" s="9"/>
      <c r="O1286" s="2">
        <v>0</v>
      </c>
      <c r="P1286" s="9"/>
      <c r="Q1286" s="2">
        <f t="shared" si="44"/>
        <v>0</v>
      </c>
      <c r="T1286" s="11"/>
    </row>
    <row r="1287" spans="1:21" ht="11.85" customHeight="1" x14ac:dyDescent="0.2">
      <c r="A1287" s="3" t="s">
        <v>681</v>
      </c>
      <c r="C1287" s="2">
        <v>0</v>
      </c>
      <c r="E1287" s="2">
        <v>0</v>
      </c>
      <c r="G1287" s="2">
        <v>0</v>
      </c>
      <c r="I1287" s="2">
        <v>0</v>
      </c>
      <c r="K1287" s="2">
        <v>0</v>
      </c>
      <c r="L1287" s="9"/>
      <c r="M1287" s="2">
        <v>0</v>
      </c>
      <c r="N1287" s="9"/>
      <c r="O1287" s="2">
        <v>0</v>
      </c>
      <c r="P1287" s="9"/>
      <c r="Q1287" s="2">
        <f t="shared" si="44"/>
        <v>0</v>
      </c>
      <c r="T1287" s="11"/>
    </row>
    <row r="1288" spans="1:21" ht="11.85" customHeight="1" x14ac:dyDescent="0.2">
      <c r="A1288" s="3" t="s">
        <v>682</v>
      </c>
      <c r="C1288" s="2">
        <v>0</v>
      </c>
      <c r="E1288" s="2">
        <v>0</v>
      </c>
      <c r="G1288" s="2">
        <v>0</v>
      </c>
      <c r="I1288" s="2">
        <v>0</v>
      </c>
      <c r="K1288" s="2">
        <v>0</v>
      </c>
      <c r="L1288" s="9"/>
      <c r="M1288" s="2">
        <v>0</v>
      </c>
      <c r="N1288" s="9"/>
      <c r="O1288" s="2">
        <v>0</v>
      </c>
      <c r="P1288" s="9"/>
      <c r="Q1288" s="2">
        <f t="shared" si="44"/>
        <v>0</v>
      </c>
      <c r="T1288" s="11"/>
    </row>
    <row r="1289" spans="1:21" ht="11.85" customHeight="1" x14ac:dyDescent="0.2">
      <c r="A1289" s="3" t="s">
        <v>683</v>
      </c>
      <c r="C1289" s="12">
        <v>0</v>
      </c>
      <c r="E1289" s="12">
        <v>0</v>
      </c>
      <c r="G1289" s="12">
        <v>0</v>
      </c>
      <c r="I1289" s="12">
        <v>0</v>
      </c>
      <c r="K1289" s="12">
        <v>0</v>
      </c>
      <c r="L1289" s="9"/>
      <c r="M1289" s="12">
        <v>0</v>
      </c>
      <c r="N1289" s="9"/>
      <c r="O1289" s="12">
        <v>0</v>
      </c>
      <c r="P1289" s="9"/>
      <c r="Q1289" s="12">
        <f t="shared" si="44"/>
        <v>0</v>
      </c>
      <c r="T1289" s="11"/>
    </row>
    <row r="1290" spans="1:21" ht="11.85" customHeight="1" x14ac:dyDescent="0.2">
      <c r="A1290" s="3" t="s">
        <v>285</v>
      </c>
      <c r="C1290" s="2">
        <f>SUM(C1281:C1289)</f>
        <v>0</v>
      </c>
      <c r="E1290" s="2">
        <f>SUM(E1281:E1289)</f>
        <v>0</v>
      </c>
      <c r="G1290" s="2">
        <f>SUM(G1281:G1289)</f>
        <v>0</v>
      </c>
      <c r="I1290" s="2">
        <f>SUM(I1281:I1289)</f>
        <v>0</v>
      </c>
      <c r="K1290" s="2">
        <f>SUM(K1281:K1289)</f>
        <v>0</v>
      </c>
      <c r="L1290" s="9"/>
      <c r="M1290" s="2">
        <f>SUM(M1281:M1289)</f>
        <v>0</v>
      </c>
      <c r="N1290" s="9"/>
      <c r="O1290" s="2">
        <f>SUM(O1281:O1289)</f>
        <v>0</v>
      </c>
      <c r="P1290" s="9"/>
      <c r="Q1290" s="2">
        <f>SUM(Q1281:Q1289)</f>
        <v>0</v>
      </c>
      <c r="R1290" s="9"/>
      <c r="U1290" s="9"/>
    </row>
    <row r="1291" spans="1:21" ht="11.85" customHeight="1" x14ac:dyDescent="0.2">
      <c r="L1291" s="9"/>
      <c r="N1291" s="9"/>
      <c r="P1291" s="9"/>
    </row>
    <row r="1292" spans="1:21" ht="11.85" customHeight="1" x14ac:dyDescent="0.2">
      <c r="A1292" s="10" t="s">
        <v>286</v>
      </c>
      <c r="L1292" s="9"/>
      <c r="N1292" s="9"/>
      <c r="P1292" s="9"/>
    </row>
    <row r="1293" spans="1:21" ht="11.85" customHeight="1" x14ac:dyDescent="0.2">
      <c r="A1293" s="3" t="s">
        <v>684</v>
      </c>
      <c r="C1293" s="2">
        <v>0</v>
      </c>
      <c r="E1293" s="2">
        <v>0</v>
      </c>
      <c r="G1293" s="2">
        <v>0</v>
      </c>
      <c r="I1293" s="2">
        <v>0</v>
      </c>
      <c r="K1293" s="2">
        <v>0</v>
      </c>
      <c r="L1293" s="9"/>
      <c r="M1293" s="2">
        <v>0</v>
      </c>
      <c r="N1293" s="9"/>
      <c r="O1293" s="2">
        <v>0</v>
      </c>
      <c r="P1293" s="9"/>
      <c r="Q1293" s="2">
        <f>M1293+O1293</f>
        <v>0</v>
      </c>
      <c r="T1293" s="11"/>
    </row>
    <row r="1294" spans="1:21" ht="11.85" customHeight="1" x14ac:dyDescent="0.2">
      <c r="A1294" s="3" t="s">
        <v>685</v>
      </c>
      <c r="C1294" s="2">
        <v>0</v>
      </c>
      <c r="E1294" s="2">
        <v>0</v>
      </c>
      <c r="G1294" s="2">
        <v>0</v>
      </c>
      <c r="I1294" s="2">
        <v>0</v>
      </c>
      <c r="K1294" s="2">
        <v>0</v>
      </c>
      <c r="L1294" s="9"/>
      <c r="M1294" s="2">
        <v>0</v>
      </c>
      <c r="N1294" s="9"/>
      <c r="O1294" s="2">
        <v>0</v>
      </c>
      <c r="P1294" s="9"/>
      <c r="Q1294" s="2">
        <f>M1294+O1294</f>
        <v>0</v>
      </c>
      <c r="T1294" s="11"/>
    </row>
    <row r="1295" spans="1:21" ht="11.85" customHeight="1" x14ac:dyDescent="0.2">
      <c r="A1295" s="3" t="s">
        <v>686</v>
      </c>
      <c r="C1295" s="2">
        <v>0</v>
      </c>
      <c r="E1295" s="2">
        <v>0</v>
      </c>
      <c r="G1295" s="2">
        <v>0</v>
      </c>
      <c r="I1295" s="2">
        <v>0</v>
      </c>
      <c r="K1295" s="2">
        <v>0</v>
      </c>
      <c r="L1295" s="9"/>
      <c r="M1295" s="2">
        <v>0</v>
      </c>
      <c r="N1295" s="9"/>
      <c r="O1295" s="2">
        <v>0</v>
      </c>
      <c r="P1295" s="9"/>
      <c r="Q1295" s="2">
        <f>M1295+O1295</f>
        <v>0</v>
      </c>
      <c r="T1295" s="11"/>
    </row>
    <row r="1296" spans="1:21" ht="11.85" customHeight="1" x14ac:dyDescent="0.2">
      <c r="A1296" s="3" t="s">
        <v>687</v>
      </c>
      <c r="C1296" s="12">
        <v>0</v>
      </c>
      <c r="E1296" s="12">
        <v>0</v>
      </c>
      <c r="G1296" s="12">
        <v>0</v>
      </c>
      <c r="I1296" s="12">
        <v>0</v>
      </c>
      <c r="K1296" s="12">
        <v>0</v>
      </c>
      <c r="L1296" s="9"/>
      <c r="M1296" s="12">
        <v>0</v>
      </c>
      <c r="N1296" s="9"/>
      <c r="O1296" s="12">
        <v>0</v>
      </c>
      <c r="P1296" s="9"/>
      <c r="Q1296" s="12">
        <f>M1296+O1296</f>
        <v>0</v>
      </c>
      <c r="T1296" s="11"/>
    </row>
    <row r="1297" spans="1:20" ht="11.85" customHeight="1" x14ac:dyDescent="0.2">
      <c r="A1297" s="3" t="s">
        <v>304</v>
      </c>
      <c r="C1297" s="2">
        <f>SUM(C1293:C1296)</f>
        <v>0</v>
      </c>
      <c r="E1297" s="2">
        <f>SUM(E1293:E1296)</f>
        <v>0</v>
      </c>
      <c r="G1297" s="2">
        <f>SUM(G1293:G1296)</f>
        <v>0</v>
      </c>
      <c r="I1297" s="2">
        <f>SUM(I1293:I1296)</f>
        <v>0</v>
      </c>
      <c r="K1297" s="2">
        <f>SUM(K1293:K1296)</f>
        <v>0</v>
      </c>
      <c r="L1297" s="9"/>
      <c r="M1297" s="2">
        <f>SUM(M1293:M1296)</f>
        <v>0</v>
      </c>
      <c r="N1297" s="9"/>
      <c r="O1297" s="2">
        <f>SUM(O1293:O1296)</f>
        <v>0</v>
      </c>
      <c r="P1297" s="9"/>
      <c r="Q1297" s="2">
        <f>SUM(Q1293:Q1296)</f>
        <v>0</v>
      </c>
    </row>
    <row r="1298" spans="1:20" ht="11.85" customHeight="1" x14ac:dyDescent="0.2">
      <c r="L1298" s="9"/>
      <c r="N1298" s="9"/>
      <c r="P1298" s="9"/>
    </row>
    <row r="1299" spans="1:20" ht="11.85" customHeight="1" x14ac:dyDescent="0.2">
      <c r="A1299" s="10" t="s">
        <v>305</v>
      </c>
      <c r="L1299" s="9"/>
      <c r="N1299" s="9"/>
      <c r="P1299" s="9"/>
    </row>
    <row r="1300" spans="1:20" ht="11.85" customHeight="1" x14ac:dyDescent="0.2">
      <c r="A1300" s="3" t="s">
        <v>688</v>
      </c>
      <c r="C1300" s="2">
        <v>0</v>
      </c>
      <c r="E1300" s="2">
        <v>0</v>
      </c>
      <c r="G1300" s="2">
        <v>0</v>
      </c>
      <c r="I1300" s="2">
        <v>0</v>
      </c>
      <c r="K1300" s="2">
        <v>0</v>
      </c>
      <c r="L1300" s="9"/>
      <c r="M1300" s="2">
        <v>0</v>
      </c>
      <c r="N1300" s="9"/>
      <c r="O1300" s="2">
        <v>0</v>
      </c>
      <c r="P1300" s="9"/>
      <c r="Q1300" s="2">
        <f t="shared" ref="Q1300:Q1307" si="45">M1300+O1300</f>
        <v>0</v>
      </c>
      <c r="T1300" s="11"/>
    </row>
    <row r="1301" spans="1:20" ht="11.85" customHeight="1" x14ac:dyDescent="0.2">
      <c r="A1301" s="3" t="s">
        <v>689</v>
      </c>
      <c r="C1301" s="2">
        <v>0</v>
      </c>
      <c r="E1301" s="2">
        <v>0</v>
      </c>
      <c r="G1301" s="2">
        <v>0</v>
      </c>
      <c r="I1301" s="2">
        <v>0</v>
      </c>
      <c r="K1301" s="2">
        <v>0</v>
      </c>
      <c r="L1301" s="9"/>
      <c r="M1301" s="2">
        <v>0</v>
      </c>
      <c r="N1301" s="9"/>
      <c r="O1301" s="2">
        <v>0</v>
      </c>
      <c r="P1301" s="9"/>
      <c r="Q1301" s="2">
        <f t="shared" si="45"/>
        <v>0</v>
      </c>
      <c r="T1301" s="11"/>
    </row>
    <row r="1302" spans="1:20" ht="11.85" customHeight="1" x14ac:dyDescent="0.2">
      <c r="A1302" s="3" t="s">
        <v>690</v>
      </c>
      <c r="C1302" s="2">
        <v>0</v>
      </c>
      <c r="E1302" s="2">
        <v>0</v>
      </c>
      <c r="G1302" s="2">
        <v>0</v>
      </c>
      <c r="I1302" s="2">
        <v>0</v>
      </c>
      <c r="K1302" s="2">
        <v>0</v>
      </c>
      <c r="L1302" s="9"/>
      <c r="M1302" s="2">
        <v>0</v>
      </c>
      <c r="N1302" s="9"/>
      <c r="O1302" s="2">
        <v>0</v>
      </c>
      <c r="P1302" s="9"/>
      <c r="Q1302" s="2">
        <f t="shared" si="45"/>
        <v>0</v>
      </c>
      <c r="T1302" s="11"/>
    </row>
    <row r="1303" spans="1:20" ht="11.85" customHeight="1" x14ac:dyDescent="0.2">
      <c r="A1303" s="3" t="s">
        <v>691</v>
      </c>
      <c r="C1303" s="2">
        <v>0</v>
      </c>
      <c r="E1303" s="2">
        <v>0</v>
      </c>
      <c r="G1303" s="2">
        <v>0</v>
      </c>
      <c r="I1303" s="2">
        <v>0</v>
      </c>
      <c r="K1303" s="2">
        <v>0</v>
      </c>
      <c r="L1303" s="9"/>
      <c r="M1303" s="2">
        <v>0</v>
      </c>
      <c r="N1303" s="9"/>
      <c r="O1303" s="2">
        <v>0</v>
      </c>
      <c r="P1303" s="9"/>
      <c r="Q1303" s="2">
        <f t="shared" si="45"/>
        <v>0</v>
      </c>
      <c r="T1303" s="11"/>
    </row>
    <row r="1304" spans="1:20" ht="11.85" customHeight="1" x14ac:dyDescent="0.2">
      <c r="A1304" s="3" t="s">
        <v>692</v>
      </c>
      <c r="C1304" s="2">
        <v>0</v>
      </c>
      <c r="E1304" s="2">
        <v>0</v>
      </c>
      <c r="G1304" s="2">
        <v>0</v>
      </c>
      <c r="I1304" s="2">
        <v>0</v>
      </c>
      <c r="K1304" s="2">
        <v>0</v>
      </c>
      <c r="L1304" s="9"/>
      <c r="M1304" s="2">
        <v>0</v>
      </c>
      <c r="N1304" s="9"/>
      <c r="O1304" s="2">
        <v>0</v>
      </c>
      <c r="P1304" s="9"/>
      <c r="Q1304" s="2">
        <f t="shared" si="45"/>
        <v>0</v>
      </c>
      <c r="T1304" s="11"/>
    </row>
    <row r="1305" spans="1:20" ht="11.85" customHeight="1" x14ac:dyDescent="0.2">
      <c r="A1305" s="3" t="s">
        <v>693</v>
      </c>
      <c r="C1305" s="2">
        <v>0</v>
      </c>
      <c r="E1305" s="2">
        <v>0</v>
      </c>
      <c r="G1305" s="2">
        <v>0</v>
      </c>
      <c r="I1305" s="2">
        <v>0</v>
      </c>
      <c r="K1305" s="2">
        <v>0</v>
      </c>
      <c r="L1305" s="9"/>
      <c r="M1305" s="2">
        <v>0</v>
      </c>
      <c r="N1305" s="9"/>
      <c r="O1305" s="2">
        <v>0</v>
      </c>
      <c r="P1305" s="9"/>
      <c r="Q1305" s="2">
        <f t="shared" si="45"/>
        <v>0</v>
      </c>
      <c r="T1305" s="11"/>
    </row>
    <row r="1306" spans="1:20" ht="11.85" customHeight="1" x14ac:dyDescent="0.2">
      <c r="A1306" s="3" t="s">
        <v>694</v>
      </c>
      <c r="C1306" s="2">
        <v>0</v>
      </c>
      <c r="E1306" s="2">
        <v>0</v>
      </c>
      <c r="G1306" s="2">
        <v>0</v>
      </c>
      <c r="I1306" s="2">
        <v>0</v>
      </c>
      <c r="K1306" s="2">
        <v>0</v>
      </c>
      <c r="L1306" s="9"/>
      <c r="M1306" s="2">
        <v>0</v>
      </c>
      <c r="N1306" s="9"/>
      <c r="O1306" s="2">
        <v>0</v>
      </c>
      <c r="P1306" s="9"/>
      <c r="Q1306" s="2">
        <f t="shared" si="45"/>
        <v>0</v>
      </c>
      <c r="T1306" s="11"/>
    </row>
    <row r="1307" spans="1:20" ht="11.85" customHeight="1" x14ac:dyDescent="0.2">
      <c r="A1307" s="3" t="s">
        <v>695</v>
      </c>
      <c r="C1307" s="12">
        <v>0</v>
      </c>
      <c r="E1307" s="12">
        <v>0</v>
      </c>
      <c r="G1307" s="12">
        <v>0</v>
      </c>
      <c r="I1307" s="12">
        <v>0</v>
      </c>
      <c r="K1307" s="12">
        <v>0</v>
      </c>
      <c r="L1307" s="9"/>
      <c r="M1307" s="12">
        <v>0</v>
      </c>
      <c r="N1307" s="9"/>
      <c r="O1307" s="12">
        <v>0</v>
      </c>
      <c r="P1307" s="9"/>
      <c r="Q1307" s="12">
        <f t="shared" si="45"/>
        <v>0</v>
      </c>
      <c r="T1307" s="11"/>
    </row>
    <row r="1308" spans="1:20" ht="11.85" customHeight="1" x14ac:dyDescent="0.2">
      <c r="A1308" s="3" t="s">
        <v>328</v>
      </c>
      <c r="C1308" s="2">
        <f>SUM(C1300:C1307)</f>
        <v>0</v>
      </c>
      <c r="E1308" s="2">
        <f>SUM(E1300:E1307)</f>
        <v>0</v>
      </c>
      <c r="G1308" s="2">
        <f>SUM(G1300:G1307)</f>
        <v>0</v>
      </c>
      <c r="I1308" s="2">
        <f>SUM(I1300:I1307)</f>
        <v>0</v>
      </c>
      <c r="K1308" s="2">
        <f>SUM(K1300:K1307)</f>
        <v>0</v>
      </c>
      <c r="L1308" s="9"/>
      <c r="M1308" s="2">
        <f>SUM(M1300:M1307)</f>
        <v>0</v>
      </c>
      <c r="N1308" s="9"/>
      <c r="O1308" s="2">
        <f>SUM(O1300:O1307)</f>
        <v>0</v>
      </c>
      <c r="P1308" s="9"/>
      <c r="Q1308" s="2">
        <f>SUM(Q1300:Q1307)</f>
        <v>0</v>
      </c>
      <c r="R1308" s="9"/>
    </row>
    <row r="1309" spans="1:20" ht="11.85" customHeight="1" x14ac:dyDescent="0.2">
      <c r="L1309" s="9"/>
      <c r="N1309" s="9"/>
      <c r="P1309" s="9"/>
    </row>
    <row r="1310" spans="1:20" ht="11.85" customHeight="1" x14ac:dyDescent="0.2">
      <c r="A1310" s="3" t="s">
        <v>696</v>
      </c>
      <c r="C1310" s="2">
        <v>0</v>
      </c>
      <c r="E1310" s="2">
        <v>0</v>
      </c>
      <c r="G1310" s="2">
        <v>0</v>
      </c>
      <c r="I1310" s="2">
        <v>0</v>
      </c>
      <c r="K1310" s="2">
        <v>0</v>
      </c>
      <c r="L1310" s="9"/>
      <c r="M1310" s="2">
        <v>0</v>
      </c>
      <c r="N1310" s="9"/>
      <c r="O1310" s="2">
        <v>0</v>
      </c>
      <c r="P1310" s="9"/>
      <c r="Q1310" s="2">
        <f>M1310+O1310</f>
        <v>0</v>
      </c>
    </row>
    <row r="1311" spans="1:20" ht="11.85" customHeight="1" x14ac:dyDescent="0.2">
      <c r="A1311" s="3" t="s">
        <v>697</v>
      </c>
      <c r="C1311" s="12">
        <v>0</v>
      </c>
      <c r="E1311" s="12">
        <v>0</v>
      </c>
      <c r="G1311" s="12">
        <v>0</v>
      </c>
      <c r="I1311" s="12">
        <v>0</v>
      </c>
      <c r="K1311" s="12">
        <v>0</v>
      </c>
      <c r="L1311" s="9"/>
      <c r="M1311" s="12">
        <v>0</v>
      </c>
      <c r="N1311" s="9"/>
      <c r="O1311" s="12">
        <v>0</v>
      </c>
      <c r="P1311" s="9"/>
      <c r="Q1311" s="12">
        <f>M1311+O1311</f>
        <v>0</v>
      </c>
    </row>
    <row r="1312" spans="1:20" ht="11.85" customHeight="1" x14ac:dyDescent="0.2">
      <c r="A1312" s="3" t="s">
        <v>331</v>
      </c>
      <c r="C1312" s="2">
        <f>SUM(C1310:C1311)</f>
        <v>0</v>
      </c>
      <c r="E1312" s="2">
        <f>SUM(E1310:E1311)</f>
        <v>0</v>
      </c>
      <c r="G1312" s="2">
        <f>SUM(G1310:G1311)</f>
        <v>0</v>
      </c>
      <c r="I1312" s="2">
        <f>SUM(I1310:I1311)</f>
        <v>0</v>
      </c>
      <c r="K1312" s="2">
        <f>SUM(K1310:K1311)</f>
        <v>0</v>
      </c>
      <c r="L1312" s="9"/>
      <c r="M1312" s="2">
        <f>SUM(M1310:M1311)</f>
        <v>0</v>
      </c>
      <c r="N1312" s="9"/>
      <c r="O1312" s="2">
        <f>SUM(O1310:O1311)</f>
        <v>0</v>
      </c>
      <c r="P1312" s="9"/>
      <c r="Q1312" s="2">
        <f>SUM(Q1310:Q1311)</f>
        <v>0</v>
      </c>
    </row>
    <row r="1313" spans="1:20" ht="11.85" customHeight="1" x14ac:dyDescent="0.2">
      <c r="L1313" s="9"/>
      <c r="N1313" s="9"/>
      <c r="P1313" s="9"/>
    </row>
    <row r="1314" spans="1:20" ht="11.85" customHeight="1" x14ac:dyDescent="0.2">
      <c r="A1314" s="3" t="s">
        <v>698</v>
      </c>
      <c r="C1314" s="2">
        <f>C1290+C1297+C1308+C1312</f>
        <v>0</v>
      </c>
      <c r="E1314" s="2">
        <f>E1290+E1297+E1308+E1312</f>
        <v>0</v>
      </c>
      <c r="G1314" s="2">
        <f>G1290+G1297+G1308+G1312</f>
        <v>0</v>
      </c>
      <c r="I1314" s="2">
        <f>I1290+I1297+I1308+I1312</f>
        <v>0</v>
      </c>
      <c r="K1314" s="2">
        <f>K1290+K1297+K1308+K1312</f>
        <v>0</v>
      </c>
      <c r="L1314" s="9"/>
      <c r="M1314" s="2">
        <f>M1290+M1297+M1308+M1312</f>
        <v>0</v>
      </c>
      <c r="N1314" s="9"/>
      <c r="O1314" s="2">
        <f>O1290+O1297+O1308+O1312</f>
        <v>0</v>
      </c>
      <c r="P1314" s="9"/>
      <c r="Q1314" s="2">
        <f>Q1290+Q1297+Q1308+Q1312</f>
        <v>0</v>
      </c>
      <c r="R1314" s="32"/>
      <c r="T1314" s="11"/>
    </row>
    <row r="1315" spans="1:20" ht="11.85" customHeight="1" x14ac:dyDescent="0.2"/>
    <row r="1316" spans="1:20" ht="11.85" customHeight="1" x14ac:dyDescent="0.2"/>
    <row r="1317" spans="1:20" ht="11.85" customHeight="1" x14ac:dyDescent="0.2"/>
    <row r="1318" spans="1:20" ht="11.85" customHeight="1" x14ac:dyDescent="0.2"/>
    <row r="1319" spans="1:20" ht="11.85" customHeight="1" x14ac:dyDescent="0.2"/>
    <row r="1320" spans="1:20" ht="11.85" customHeight="1" x14ac:dyDescent="0.2"/>
    <row r="1321" spans="1:20" ht="11.85" customHeight="1" x14ac:dyDescent="0.2"/>
    <row r="1322" spans="1:20" ht="11.85" customHeight="1" x14ac:dyDescent="0.2"/>
    <row r="1323" spans="1:20" ht="11.85" customHeight="1" x14ac:dyDescent="0.2"/>
    <row r="1324" spans="1:20" ht="11.85" customHeight="1" x14ac:dyDescent="0.2"/>
    <row r="1325" spans="1:20" ht="11.85" customHeight="1" x14ac:dyDescent="0.2"/>
    <row r="1326" spans="1:20" ht="11.85" customHeight="1" x14ac:dyDescent="0.2"/>
    <row r="1327" spans="1:20" ht="11.85" customHeight="1" x14ac:dyDescent="0.2"/>
    <row r="1328" spans="1:20" ht="11.85" customHeight="1" x14ac:dyDescent="0.2"/>
    <row r="1329" spans="1:17" ht="11.85" customHeight="1" x14ac:dyDescent="0.2"/>
    <row r="1330" spans="1:17" ht="11.85" customHeight="1" x14ac:dyDescent="0.2"/>
    <row r="1331" spans="1:17" ht="11.85" customHeight="1" x14ac:dyDescent="0.2"/>
    <row r="1332" spans="1:17" ht="11.85" customHeight="1" x14ac:dyDescent="0.2"/>
    <row r="1333" spans="1:17" ht="11.85" customHeight="1" x14ac:dyDescent="0.2"/>
    <row r="1334" spans="1:17" ht="11.85" customHeight="1" x14ac:dyDescent="0.2"/>
    <row r="1335" spans="1:17" ht="11.85" customHeight="1" x14ac:dyDescent="0.2"/>
    <row r="1336" spans="1:17" ht="11.85" customHeight="1" x14ac:dyDescent="0.2">
      <c r="A1336" s="1"/>
      <c r="B1336" s="1"/>
      <c r="E1336" s="2" t="str">
        <f>$E$1</f>
        <v>CITY OF BRADY</v>
      </c>
    </row>
    <row r="1337" spans="1:17" ht="11.85" customHeight="1" x14ac:dyDescent="0.2">
      <c r="E1337" s="2" t="str">
        <f>$E$2</f>
        <v>BUDGET REPORT</v>
      </c>
    </row>
    <row r="1338" spans="1:17" ht="11.85" customHeight="1" x14ac:dyDescent="0.2">
      <c r="E1338" s="2" t="str">
        <f>$E$3</f>
        <v>FISCAL YEAR 2024 - 2025</v>
      </c>
    </row>
    <row r="1339" spans="1:17" ht="11.85" customHeight="1" x14ac:dyDescent="0.2">
      <c r="A1339" s="3" t="s">
        <v>3</v>
      </c>
    </row>
    <row r="1340" spans="1:17" ht="11.85" customHeight="1" x14ac:dyDescent="0.2">
      <c r="A1340" s="3" t="s">
        <v>699</v>
      </c>
    </row>
    <row r="1341" spans="1:17" ht="11.85" customHeight="1" x14ac:dyDescent="0.2">
      <c r="A1341" s="32" t="s">
        <v>674</v>
      </c>
      <c r="I1341" s="53" t="str">
        <f>$I$6</f>
        <v>(----- 2023-2024------)</v>
      </c>
      <c r="J1341" s="53"/>
      <c r="K1341" s="53"/>
      <c r="L1341" s="6"/>
      <c r="M1341" s="54" t="str">
        <f>$M$6</f>
        <v>2024-2025</v>
      </c>
      <c r="N1341" s="54"/>
      <c r="O1341" s="54"/>
      <c r="P1341" s="54"/>
      <c r="Q1341" s="54"/>
    </row>
    <row r="1342" spans="1:17" ht="11.85" customHeight="1" x14ac:dyDescent="0.2">
      <c r="C1342" s="5" t="str">
        <f>$C$7</f>
        <v>2020-2021</v>
      </c>
      <c r="D1342" s="5"/>
      <c r="E1342" s="5" t="str">
        <f>$E$7</f>
        <v>2021-2022</v>
      </c>
      <c r="F1342" s="5"/>
      <c r="G1342" s="5" t="str">
        <f>$G$7</f>
        <v>2022-2023</v>
      </c>
      <c r="H1342" s="5"/>
      <c r="I1342" s="5" t="s">
        <v>9</v>
      </c>
      <c r="J1342" s="5"/>
      <c r="K1342" s="5" t="str">
        <f>+$K$7</f>
        <v>PROJECTED</v>
      </c>
      <c r="L1342" s="6"/>
      <c r="M1342" s="5">
        <f>$M$7</f>
        <v>0</v>
      </c>
      <c r="N1342" s="6"/>
      <c r="O1342" s="5" t="str">
        <f>$O$7</f>
        <v>2024-2025</v>
      </c>
      <c r="P1342" s="6"/>
      <c r="Q1342" s="5" t="str">
        <f>$Q$7</f>
        <v>APPROVED</v>
      </c>
    </row>
    <row r="1343" spans="1:17" ht="11.85" customHeight="1" x14ac:dyDescent="0.2">
      <c r="A1343" s="7" t="s">
        <v>273</v>
      </c>
      <c r="C1343" s="8" t="s">
        <v>12</v>
      </c>
      <c r="D1343" s="5"/>
      <c r="E1343" s="8" t="s">
        <v>12</v>
      </c>
      <c r="F1343" s="5"/>
      <c r="G1343" s="8" t="s">
        <v>12</v>
      </c>
      <c r="H1343" s="5"/>
      <c r="I1343" s="8" t="s">
        <v>13</v>
      </c>
      <c r="J1343" s="5"/>
      <c r="K1343" s="8" t="s">
        <v>13</v>
      </c>
      <c r="L1343" s="6"/>
      <c r="M1343" s="8" t="str">
        <f>$M$8</f>
        <v>BASE</v>
      </c>
      <c r="N1343" s="6"/>
      <c r="O1343" s="8" t="str">
        <f>$O$8</f>
        <v>SUPPLEMENTAL</v>
      </c>
      <c r="P1343" s="6"/>
      <c r="Q1343" s="8" t="str">
        <f>$Q$8</f>
        <v>BUDGET</v>
      </c>
    </row>
    <row r="1344" spans="1:17" ht="11.85" customHeight="1" x14ac:dyDescent="0.2"/>
    <row r="1345" spans="1:21" ht="11.85" customHeight="1" x14ac:dyDescent="0.2">
      <c r="A1345" s="10" t="s">
        <v>274</v>
      </c>
    </row>
    <row r="1346" spans="1:21" ht="11.85" customHeight="1" x14ac:dyDescent="0.2">
      <c r="A1346" s="3" t="s">
        <v>700</v>
      </c>
      <c r="C1346" s="2">
        <v>85342.399999999994</v>
      </c>
      <c r="E1346" s="2">
        <v>0</v>
      </c>
      <c r="G1346" s="2">
        <v>0</v>
      </c>
      <c r="I1346" s="2">
        <v>0</v>
      </c>
      <c r="K1346" s="2">
        <v>0</v>
      </c>
      <c r="L1346" s="9"/>
      <c r="M1346" s="2">
        <v>0</v>
      </c>
      <c r="N1346" s="9"/>
      <c r="O1346" s="2">
        <v>0</v>
      </c>
      <c r="P1346" s="9"/>
      <c r="Q1346" s="2">
        <f>M1346+O1346</f>
        <v>0</v>
      </c>
      <c r="T1346" s="11"/>
    </row>
    <row r="1347" spans="1:21" ht="11.85" customHeight="1" x14ac:dyDescent="0.2">
      <c r="A1347" s="3" t="s">
        <v>701</v>
      </c>
      <c r="C1347" s="2">
        <v>0</v>
      </c>
      <c r="E1347" s="2">
        <v>0</v>
      </c>
      <c r="G1347" s="2">
        <v>0</v>
      </c>
      <c r="I1347" s="2">
        <v>0</v>
      </c>
      <c r="K1347" s="2">
        <v>0</v>
      </c>
      <c r="L1347" s="9"/>
      <c r="M1347" s="2">
        <v>0</v>
      </c>
      <c r="N1347" s="9"/>
      <c r="O1347" s="2">
        <v>0</v>
      </c>
      <c r="P1347" s="9"/>
      <c r="Q1347" s="2">
        <f t="shared" ref="Q1347:Q1353" si="46">M1347+O1347</f>
        <v>0</v>
      </c>
      <c r="T1347" s="11"/>
    </row>
    <row r="1348" spans="1:21" ht="11.85" customHeight="1" x14ac:dyDescent="0.2">
      <c r="A1348" s="3" t="s">
        <v>702</v>
      </c>
      <c r="C1348" s="2">
        <v>3000</v>
      </c>
      <c r="E1348" s="2">
        <v>0</v>
      </c>
      <c r="G1348" s="2">
        <v>0</v>
      </c>
      <c r="I1348" s="2">
        <v>0</v>
      </c>
      <c r="K1348" s="2">
        <v>0</v>
      </c>
      <c r="L1348" s="9"/>
      <c r="M1348" s="2">
        <v>0</v>
      </c>
      <c r="N1348" s="9"/>
      <c r="O1348" s="2">
        <v>0</v>
      </c>
      <c r="P1348" s="9"/>
      <c r="Q1348" s="2">
        <f>M1348+O1348</f>
        <v>0</v>
      </c>
      <c r="T1348" s="11"/>
    </row>
    <row r="1349" spans="1:21" ht="11.85" customHeight="1" x14ac:dyDescent="0.2">
      <c r="A1349" s="3" t="s">
        <v>703</v>
      </c>
      <c r="C1349" s="2">
        <v>11841.84</v>
      </c>
      <c r="E1349" s="2">
        <v>0</v>
      </c>
      <c r="G1349" s="2">
        <v>0</v>
      </c>
      <c r="I1349" s="2">
        <v>0</v>
      </c>
      <c r="K1349" s="2">
        <v>0</v>
      </c>
      <c r="L1349" s="9"/>
      <c r="M1349" s="2">
        <v>0</v>
      </c>
      <c r="N1349" s="9"/>
      <c r="O1349" s="2">
        <v>0</v>
      </c>
      <c r="P1349" s="9"/>
      <c r="Q1349" s="2">
        <f t="shared" si="46"/>
        <v>0</v>
      </c>
      <c r="T1349" s="11"/>
    </row>
    <row r="1350" spans="1:21" ht="11.85" customHeight="1" x14ac:dyDescent="0.2">
      <c r="A1350" s="3" t="s">
        <v>704</v>
      </c>
      <c r="C1350" s="2">
        <v>8845.0499999999993</v>
      </c>
      <c r="E1350" s="2">
        <v>0</v>
      </c>
      <c r="G1350" s="2">
        <v>0</v>
      </c>
      <c r="I1350" s="2">
        <v>0</v>
      </c>
      <c r="K1350" s="2">
        <v>0</v>
      </c>
      <c r="L1350" s="9"/>
      <c r="M1350" s="2">
        <v>0</v>
      </c>
      <c r="N1350" s="9"/>
      <c r="O1350" s="2">
        <v>0</v>
      </c>
      <c r="P1350" s="9"/>
      <c r="Q1350" s="2">
        <f t="shared" si="46"/>
        <v>0</v>
      </c>
      <c r="T1350" s="11"/>
    </row>
    <row r="1351" spans="1:21" ht="11.85" customHeight="1" x14ac:dyDescent="0.2">
      <c r="A1351" s="3" t="s">
        <v>705</v>
      </c>
      <c r="C1351" s="2">
        <v>209.57</v>
      </c>
      <c r="E1351" s="2">
        <v>0</v>
      </c>
      <c r="G1351" s="2">
        <v>0</v>
      </c>
      <c r="I1351" s="2">
        <v>0</v>
      </c>
      <c r="K1351" s="2">
        <v>0</v>
      </c>
      <c r="L1351" s="9"/>
      <c r="M1351" s="2">
        <v>0</v>
      </c>
      <c r="N1351" s="9"/>
      <c r="O1351" s="2">
        <v>0</v>
      </c>
      <c r="P1351" s="9"/>
      <c r="Q1351" s="2">
        <f t="shared" si="46"/>
        <v>0</v>
      </c>
      <c r="T1351" s="11"/>
    </row>
    <row r="1352" spans="1:21" ht="11.85" customHeight="1" x14ac:dyDescent="0.2">
      <c r="A1352" s="3" t="s">
        <v>706</v>
      </c>
      <c r="C1352" s="2">
        <v>252</v>
      </c>
      <c r="E1352" s="2">
        <v>0</v>
      </c>
      <c r="G1352" s="2">
        <v>0</v>
      </c>
      <c r="I1352" s="2">
        <v>0</v>
      </c>
      <c r="K1352" s="2">
        <v>0</v>
      </c>
      <c r="L1352" s="9"/>
      <c r="M1352" s="2">
        <v>0</v>
      </c>
      <c r="N1352" s="9"/>
      <c r="O1352" s="2">
        <v>0</v>
      </c>
      <c r="P1352" s="9"/>
      <c r="Q1352" s="2">
        <f t="shared" si="46"/>
        <v>0</v>
      </c>
      <c r="T1352" s="11"/>
    </row>
    <row r="1353" spans="1:21" ht="11.85" customHeight="1" x14ac:dyDescent="0.2">
      <c r="A1353" s="3" t="s">
        <v>707</v>
      </c>
      <c r="C1353" s="12">
        <v>6549.86</v>
      </c>
      <c r="E1353" s="12">
        <v>254.23</v>
      </c>
      <c r="G1353" s="12">
        <v>0</v>
      </c>
      <c r="I1353" s="12">
        <v>0</v>
      </c>
      <c r="K1353" s="12">
        <v>0</v>
      </c>
      <c r="L1353" s="9"/>
      <c r="M1353" s="12">
        <v>0</v>
      </c>
      <c r="N1353" s="9"/>
      <c r="O1353" s="12">
        <v>0</v>
      </c>
      <c r="P1353" s="9"/>
      <c r="Q1353" s="12">
        <f t="shared" si="46"/>
        <v>0</v>
      </c>
      <c r="T1353" s="11"/>
    </row>
    <row r="1354" spans="1:21" ht="11.85" customHeight="1" x14ac:dyDescent="0.2">
      <c r="A1354" s="3" t="s">
        <v>285</v>
      </c>
      <c r="C1354" s="2">
        <f>SUM(C1346:C1353)</f>
        <v>116040.72</v>
      </c>
      <c r="E1354" s="2">
        <f>SUM(E1346:E1353)</f>
        <v>254.23</v>
      </c>
      <c r="G1354" s="2">
        <f>SUM(G1346:G1353)</f>
        <v>0</v>
      </c>
      <c r="I1354" s="2">
        <f>SUM(I1346:I1353)</f>
        <v>0</v>
      </c>
      <c r="K1354" s="2">
        <f>SUM(K1346:K1353)</f>
        <v>0</v>
      </c>
      <c r="L1354" s="9"/>
      <c r="M1354" s="2">
        <f>SUM(M1346:M1353)</f>
        <v>0</v>
      </c>
      <c r="N1354" s="9"/>
      <c r="O1354" s="2">
        <f>SUM(O1346:O1353)</f>
        <v>0</v>
      </c>
      <c r="P1354" s="9"/>
      <c r="Q1354" s="2">
        <f>SUM(Q1346:Q1353)</f>
        <v>0</v>
      </c>
      <c r="R1354" s="9"/>
      <c r="U1354" s="9"/>
    </row>
    <row r="1355" spans="1:21" ht="11.85" customHeight="1" x14ac:dyDescent="0.2">
      <c r="L1355" s="9"/>
      <c r="N1355" s="9"/>
      <c r="P1355" s="9"/>
    </row>
    <row r="1356" spans="1:21" ht="11.85" customHeight="1" x14ac:dyDescent="0.2">
      <c r="A1356" s="10" t="s">
        <v>286</v>
      </c>
      <c r="L1356" s="9"/>
      <c r="N1356" s="9"/>
      <c r="P1356" s="9"/>
    </row>
    <row r="1357" spans="1:21" ht="11.85" customHeight="1" x14ac:dyDescent="0.2">
      <c r="A1357" s="3" t="s">
        <v>708</v>
      </c>
      <c r="C1357" s="2">
        <v>0</v>
      </c>
      <c r="E1357" s="2">
        <v>0</v>
      </c>
      <c r="G1357" s="2">
        <v>0</v>
      </c>
      <c r="I1357" s="2">
        <v>0</v>
      </c>
      <c r="K1357" s="2">
        <v>0</v>
      </c>
      <c r="L1357" s="9"/>
      <c r="M1357" s="2">
        <v>0</v>
      </c>
      <c r="N1357" s="9"/>
      <c r="O1357" s="2">
        <v>0</v>
      </c>
      <c r="P1357" s="9"/>
      <c r="Q1357" s="2">
        <f>M1357+O1357</f>
        <v>0</v>
      </c>
    </row>
    <row r="1358" spans="1:21" ht="11.85" customHeight="1" x14ac:dyDescent="0.2">
      <c r="A1358" s="3" t="s">
        <v>709</v>
      </c>
      <c r="C1358" s="2">
        <v>0</v>
      </c>
      <c r="E1358" s="2">
        <v>119.99</v>
      </c>
      <c r="G1358" s="2">
        <v>0</v>
      </c>
      <c r="I1358" s="2">
        <v>0</v>
      </c>
      <c r="K1358" s="2">
        <v>0</v>
      </c>
      <c r="L1358" s="9"/>
      <c r="M1358" s="2">
        <v>0</v>
      </c>
      <c r="N1358" s="9"/>
      <c r="O1358" s="2">
        <v>0</v>
      </c>
      <c r="P1358" s="9"/>
      <c r="Q1358" s="2">
        <f>M1358+O1358</f>
        <v>0</v>
      </c>
    </row>
    <row r="1359" spans="1:21" ht="11.85" customHeight="1" x14ac:dyDescent="0.2">
      <c r="A1359" s="3" t="s">
        <v>710</v>
      </c>
      <c r="C1359" s="2">
        <v>115.45</v>
      </c>
      <c r="E1359" s="2">
        <v>0</v>
      </c>
      <c r="G1359" s="2">
        <v>0</v>
      </c>
      <c r="I1359" s="2">
        <v>0</v>
      </c>
      <c r="K1359" s="2">
        <v>0</v>
      </c>
      <c r="L1359" s="9"/>
      <c r="M1359" s="2">
        <v>0</v>
      </c>
      <c r="N1359" s="9"/>
      <c r="O1359" s="2">
        <v>0</v>
      </c>
      <c r="P1359" s="9"/>
      <c r="Q1359" s="2">
        <f>M1359+O1359</f>
        <v>0</v>
      </c>
      <c r="T1359" s="11"/>
    </row>
    <row r="1360" spans="1:21" ht="11.85" customHeight="1" x14ac:dyDescent="0.2">
      <c r="A1360" s="3" t="s">
        <v>711</v>
      </c>
      <c r="C1360" s="12">
        <v>0</v>
      </c>
      <c r="E1360" s="12">
        <v>0</v>
      </c>
      <c r="G1360" s="12">
        <v>0</v>
      </c>
      <c r="I1360" s="12">
        <v>0</v>
      </c>
      <c r="K1360" s="12">
        <v>0</v>
      </c>
      <c r="L1360" s="9"/>
      <c r="M1360" s="12">
        <v>0</v>
      </c>
      <c r="N1360" s="9"/>
      <c r="O1360" s="12">
        <v>0</v>
      </c>
      <c r="P1360" s="9"/>
      <c r="Q1360" s="12">
        <f>M1360+O1360</f>
        <v>0</v>
      </c>
      <c r="T1360" s="11"/>
    </row>
    <row r="1361" spans="1:20" ht="11.85" customHeight="1" x14ac:dyDescent="0.2">
      <c r="A1361" s="3" t="s">
        <v>304</v>
      </c>
      <c r="C1361" s="2">
        <f>SUM(C1357:C1360)</f>
        <v>115.45</v>
      </c>
      <c r="E1361" s="2">
        <f>SUM(E1357:E1360)</f>
        <v>119.99</v>
      </c>
      <c r="G1361" s="2">
        <f>SUM(G1357:G1360)</f>
        <v>0</v>
      </c>
      <c r="I1361" s="2">
        <f>SUM(I1357:I1360)</f>
        <v>0</v>
      </c>
      <c r="K1361" s="2">
        <f>SUM(K1357:K1360)</f>
        <v>0</v>
      </c>
      <c r="L1361" s="9"/>
      <c r="M1361" s="2">
        <f>SUM(M1357:M1360)</f>
        <v>0</v>
      </c>
      <c r="N1361" s="9"/>
      <c r="O1361" s="2">
        <f>SUM(O1357:O1360)</f>
        <v>0</v>
      </c>
      <c r="P1361" s="9"/>
      <c r="Q1361" s="2">
        <f>SUM(Q1357:Q1360)</f>
        <v>0</v>
      </c>
    </row>
    <row r="1362" spans="1:20" ht="11.85" customHeight="1" x14ac:dyDescent="0.2">
      <c r="L1362" s="9"/>
      <c r="N1362" s="9"/>
      <c r="P1362" s="9"/>
    </row>
    <row r="1363" spans="1:20" ht="11.85" customHeight="1" x14ac:dyDescent="0.2">
      <c r="A1363" s="10" t="s">
        <v>305</v>
      </c>
      <c r="L1363" s="9"/>
      <c r="N1363" s="9"/>
      <c r="P1363" s="9"/>
    </row>
    <row r="1364" spans="1:20" ht="11.85" customHeight="1" x14ac:dyDescent="0.2">
      <c r="A1364" s="3" t="s">
        <v>712</v>
      </c>
      <c r="C1364" s="2">
        <v>15</v>
      </c>
      <c r="E1364" s="2">
        <v>0</v>
      </c>
      <c r="G1364" s="2">
        <v>0</v>
      </c>
      <c r="I1364" s="2">
        <v>0</v>
      </c>
      <c r="K1364" s="2">
        <v>0</v>
      </c>
      <c r="L1364" s="9"/>
      <c r="M1364" s="2">
        <v>0</v>
      </c>
      <c r="N1364" s="9"/>
      <c r="O1364" s="2">
        <v>0</v>
      </c>
      <c r="P1364" s="9"/>
      <c r="Q1364" s="2">
        <f t="shared" ref="Q1364:Q1369" si="47">M1364+O1364</f>
        <v>0</v>
      </c>
      <c r="T1364" s="11"/>
    </row>
    <row r="1365" spans="1:20" ht="11.85" customHeight="1" x14ac:dyDescent="0.2">
      <c r="A1365" s="3" t="s">
        <v>713</v>
      </c>
      <c r="C1365" s="2">
        <v>400</v>
      </c>
      <c r="E1365" s="2">
        <v>0</v>
      </c>
      <c r="G1365" s="2">
        <v>0</v>
      </c>
      <c r="I1365" s="2">
        <v>0</v>
      </c>
      <c r="K1365" s="2">
        <v>0</v>
      </c>
      <c r="L1365" s="9"/>
      <c r="M1365" s="2">
        <v>0</v>
      </c>
      <c r="N1365" s="9"/>
      <c r="O1365" s="2">
        <v>0</v>
      </c>
      <c r="P1365" s="9"/>
      <c r="Q1365" s="2">
        <f t="shared" si="47"/>
        <v>0</v>
      </c>
      <c r="T1365" s="11"/>
    </row>
    <row r="1366" spans="1:20" ht="11.85" customHeight="1" x14ac:dyDescent="0.2">
      <c r="A1366" s="3" t="s">
        <v>714</v>
      </c>
      <c r="C1366" s="2">
        <v>152.99</v>
      </c>
      <c r="E1366" s="2">
        <v>0</v>
      </c>
      <c r="G1366" s="2">
        <v>0</v>
      </c>
      <c r="I1366" s="2">
        <v>0</v>
      </c>
      <c r="K1366" s="2">
        <v>0</v>
      </c>
      <c r="L1366" s="9"/>
      <c r="M1366" s="2">
        <v>0</v>
      </c>
      <c r="N1366" s="9"/>
      <c r="O1366" s="2">
        <v>0</v>
      </c>
      <c r="P1366" s="9"/>
      <c r="Q1366" s="2">
        <f t="shared" si="47"/>
        <v>0</v>
      </c>
      <c r="T1366" s="11"/>
    </row>
    <row r="1367" spans="1:20" ht="11.85" customHeight="1" x14ac:dyDescent="0.2">
      <c r="A1367" s="3" t="s">
        <v>715</v>
      </c>
      <c r="C1367" s="2">
        <v>0</v>
      </c>
      <c r="E1367" s="2">
        <v>0</v>
      </c>
      <c r="G1367" s="2">
        <v>0</v>
      </c>
      <c r="I1367" s="2">
        <v>0</v>
      </c>
      <c r="K1367" s="2">
        <v>0</v>
      </c>
      <c r="L1367" s="9"/>
      <c r="M1367" s="2">
        <v>0</v>
      </c>
      <c r="N1367" s="9"/>
      <c r="O1367" s="2">
        <v>0</v>
      </c>
      <c r="P1367" s="9"/>
      <c r="Q1367" s="2">
        <f t="shared" si="47"/>
        <v>0</v>
      </c>
      <c r="T1367" s="11"/>
    </row>
    <row r="1368" spans="1:20" ht="11.85" customHeight="1" x14ac:dyDescent="0.2">
      <c r="A1368" s="3" t="s">
        <v>716</v>
      </c>
      <c r="C1368" s="2">
        <v>1014.72</v>
      </c>
      <c r="E1368" s="2">
        <v>390.72</v>
      </c>
      <c r="G1368" s="2">
        <v>0</v>
      </c>
      <c r="I1368" s="2">
        <v>0</v>
      </c>
      <c r="K1368" s="2">
        <v>0</v>
      </c>
      <c r="L1368" s="9"/>
      <c r="M1368" s="2">
        <v>0</v>
      </c>
      <c r="N1368" s="9"/>
      <c r="O1368" s="2">
        <v>0</v>
      </c>
      <c r="P1368" s="9"/>
      <c r="Q1368" s="2">
        <f t="shared" si="47"/>
        <v>0</v>
      </c>
      <c r="T1368" s="11"/>
    </row>
    <row r="1369" spans="1:20" ht="11.85" customHeight="1" x14ac:dyDescent="0.2">
      <c r="A1369" s="3" t="s">
        <v>717</v>
      </c>
      <c r="C1369" s="12">
        <v>0</v>
      </c>
      <c r="E1369" s="12">
        <v>0</v>
      </c>
      <c r="G1369" s="12">
        <v>0</v>
      </c>
      <c r="I1369" s="12">
        <v>0</v>
      </c>
      <c r="K1369" s="12">
        <v>0</v>
      </c>
      <c r="L1369" s="9"/>
      <c r="M1369" s="12">
        <v>0</v>
      </c>
      <c r="N1369" s="9"/>
      <c r="O1369" s="12">
        <v>0</v>
      </c>
      <c r="P1369" s="9"/>
      <c r="Q1369" s="12">
        <f t="shared" si="47"/>
        <v>0</v>
      </c>
      <c r="T1369" s="11"/>
    </row>
    <row r="1370" spans="1:20" ht="11.85" customHeight="1" x14ac:dyDescent="0.2">
      <c r="A1370" s="3" t="s">
        <v>328</v>
      </c>
      <c r="C1370" s="2">
        <f>SUM(C1364:C1369)</f>
        <v>1582.71</v>
      </c>
      <c r="E1370" s="2">
        <f>SUM(E1364:E1369)</f>
        <v>390.72</v>
      </c>
      <c r="G1370" s="2">
        <f>SUM(G1364:G1369)</f>
        <v>0</v>
      </c>
      <c r="I1370" s="2">
        <f>SUM(I1364:I1369)</f>
        <v>0</v>
      </c>
      <c r="K1370" s="2">
        <f>SUM(K1364:K1369)</f>
        <v>0</v>
      </c>
      <c r="L1370" s="9"/>
      <c r="M1370" s="2">
        <f>SUM(M1364:M1369)</f>
        <v>0</v>
      </c>
      <c r="N1370" s="9"/>
      <c r="O1370" s="2">
        <f>SUM(O1364:O1369)</f>
        <v>0</v>
      </c>
      <c r="P1370" s="9"/>
      <c r="Q1370" s="2">
        <f>SUM(Q1364:Q1369)</f>
        <v>0</v>
      </c>
    </row>
    <row r="1371" spans="1:20" ht="11.85" customHeight="1" x14ac:dyDescent="0.2">
      <c r="L1371" s="9"/>
      <c r="N1371" s="9"/>
      <c r="P1371" s="9"/>
    </row>
    <row r="1372" spans="1:20" ht="11.85" customHeight="1" x14ac:dyDescent="0.2">
      <c r="A1372" s="3" t="s">
        <v>718</v>
      </c>
      <c r="C1372" s="2">
        <f>C1354+C1361+C1370</f>
        <v>117738.88</v>
      </c>
      <c r="E1372" s="2">
        <f>E1354+E1361+E1370</f>
        <v>764.94</v>
      </c>
      <c r="G1372" s="2">
        <f>G1354+G1361+G1370</f>
        <v>0</v>
      </c>
      <c r="I1372" s="2">
        <f>I1354+I1361+I1370</f>
        <v>0</v>
      </c>
      <c r="K1372" s="2">
        <f>K1354+K1361+K1370</f>
        <v>0</v>
      </c>
      <c r="L1372" s="9"/>
      <c r="M1372" s="2">
        <f>M1354+M1361+M1370</f>
        <v>0</v>
      </c>
      <c r="N1372" s="9"/>
      <c r="O1372" s="2">
        <f>O1354+O1361+O1370</f>
        <v>0</v>
      </c>
      <c r="P1372" s="9"/>
      <c r="Q1372" s="2">
        <f>Q1354+Q1361+Q1370</f>
        <v>0</v>
      </c>
      <c r="R1372" s="9"/>
      <c r="T1372" s="11"/>
    </row>
    <row r="1373" spans="1:20" ht="11.85" customHeight="1" x14ac:dyDescent="0.2"/>
    <row r="1374" spans="1:20" ht="11.85" customHeight="1" x14ac:dyDescent="0.2"/>
    <row r="1375" spans="1:20" ht="11.85" customHeight="1" x14ac:dyDescent="0.2"/>
    <row r="1376" spans="1:20" ht="11.85" customHeight="1" x14ac:dyDescent="0.2"/>
    <row r="1377" ht="11.85" customHeight="1" x14ac:dyDescent="0.2"/>
    <row r="1378" ht="11.85" customHeight="1" x14ac:dyDescent="0.2"/>
    <row r="1379" ht="11.85" customHeight="1" x14ac:dyDescent="0.2"/>
    <row r="1380" ht="11.85" customHeight="1" x14ac:dyDescent="0.2"/>
    <row r="1381" ht="11.85" customHeight="1" x14ac:dyDescent="0.2"/>
    <row r="1382" ht="11.85" customHeight="1" x14ac:dyDescent="0.2"/>
    <row r="1383" ht="11.85" customHeight="1" x14ac:dyDescent="0.2"/>
    <row r="1384" ht="11.85" customHeight="1" x14ac:dyDescent="0.2"/>
    <row r="1385" ht="11.85" customHeight="1" x14ac:dyDescent="0.2"/>
    <row r="1386" ht="11.85" customHeight="1" x14ac:dyDescent="0.2"/>
    <row r="1387" ht="11.85" customHeight="1" x14ac:dyDescent="0.2"/>
    <row r="1388" ht="11.85" customHeight="1" x14ac:dyDescent="0.2"/>
    <row r="1389" ht="11.85" customHeight="1" x14ac:dyDescent="0.2"/>
    <row r="1390" ht="11.85" customHeight="1" x14ac:dyDescent="0.2"/>
    <row r="1391" ht="11.85" customHeight="1" x14ac:dyDescent="0.2"/>
    <row r="1392" ht="11.85" customHeight="1" x14ac:dyDescent="0.2"/>
    <row r="1393" spans="1:17" ht="11.85" customHeight="1" x14ac:dyDescent="0.2"/>
    <row r="1394" spans="1:17" ht="11.85" customHeight="1" x14ac:dyDescent="0.2"/>
    <row r="1395" spans="1:17" ht="11.85" customHeight="1" x14ac:dyDescent="0.2"/>
    <row r="1396" spans="1:17" ht="11.85" customHeight="1" x14ac:dyDescent="0.2"/>
    <row r="1397" spans="1:17" ht="11.85" customHeight="1" x14ac:dyDescent="0.2"/>
    <row r="1398" spans="1:17" ht="11.85" customHeight="1" x14ac:dyDescent="0.2"/>
    <row r="1399" spans="1:17" ht="11.85" customHeight="1" x14ac:dyDescent="0.2">
      <c r="A1399" s="1"/>
      <c r="B1399" s="1"/>
      <c r="E1399" s="2" t="str">
        <f>$E$1</f>
        <v>CITY OF BRADY</v>
      </c>
    </row>
    <row r="1400" spans="1:17" ht="11.85" customHeight="1" x14ac:dyDescent="0.2">
      <c r="E1400" s="2" t="str">
        <f>$E$2</f>
        <v>BUDGET REPORT</v>
      </c>
    </row>
    <row r="1401" spans="1:17" ht="11.85" customHeight="1" x14ac:dyDescent="0.2">
      <c r="E1401" s="2" t="str">
        <f>$E$3</f>
        <v>FISCAL YEAR 2024 - 2025</v>
      </c>
    </row>
    <row r="1402" spans="1:17" ht="11.85" customHeight="1" x14ac:dyDescent="0.2">
      <c r="A1402" s="3" t="s">
        <v>3</v>
      </c>
    </row>
    <row r="1403" spans="1:17" ht="11.85" customHeight="1" x14ac:dyDescent="0.2">
      <c r="A1403" s="3" t="s">
        <v>719</v>
      </c>
    </row>
    <row r="1404" spans="1:17" ht="11.85" customHeight="1" x14ac:dyDescent="0.2">
      <c r="I1404" s="53" t="str">
        <f>$I$6</f>
        <v>(----- 2023-2024------)</v>
      </c>
      <c r="J1404" s="53"/>
      <c r="K1404" s="53"/>
      <c r="L1404" s="6"/>
      <c r="M1404" s="54" t="str">
        <f>$M$6</f>
        <v>2024-2025</v>
      </c>
      <c r="N1404" s="54"/>
      <c r="O1404" s="54"/>
      <c r="P1404" s="54"/>
      <c r="Q1404" s="54"/>
    </row>
    <row r="1405" spans="1:17" ht="11.85" customHeight="1" x14ac:dyDescent="0.2">
      <c r="C1405" s="5" t="str">
        <f>$C$7</f>
        <v>2020-2021</v>
      </c>
      <c r="D1405" s="5"/>
      <c r="E1405" s="5" t="str">
        <f>$E$7</f>
        <v>2021-2022</v>
      </c>
      <c r="F1405" s="5"/>
      <c r="G1405" s="5" t="str">
        <f>$G$7</f>
        <v>2022-2023</v>
      </c>
      <c r="H1405" s="5"/>
      <c r="I1405" s="5" t="s">
        <v>9</v>
      </c>
      <c r="J1405" s="5"/>
      <c r="K1405" s="5" t="str">
        <f>+$K$7</f>
        <v>PROJECTED</v>
      </c>
      <c r="L1405" s="6"/>
      <c r="M1405" s="5">
        <f>$M$7</f>
        <v>0</v>
      </c>
      <c r="N1405" s="6"/>
      <c r="O1405" s="5" t="str">
        <f>$O$7</f>
        <v>2024-2025</v>
      </c>
      <c r="P1405" s="6"/>
      <c r="Q1405" s="5" t="str">
        <f>$Q$7</f>
        <v>APPROVED</v>
      </c>
    </row>
    <row r="1406" spans="1:17" ht="11.85" customHeight="1" x14ac:dyDescent="0.2">
      <c r="A1406" s="7" t="s">
        <v>273</v>
      </c>
      <c r="C1406" s="8" t="s">
        <v>12</v>
      </c>
      <c r="D1406" s="5"/>
      <c r="E1406" s="8" t="s">
        <v>12</v>
      </c>
      <c r="F1406" s="5"/>
      <c r="G1406" s="8" t="s">
        <v>12</v>
      </c>
      <c r="H1406" s="5"/>
      <c r="I1406" s="8" t="s">
        <v>13</v>
      </c>
      <c r="J1406" s="5"/>
      <c r="K1406" s="8" t="s">
        <v>13</v>
      </c>
      <c r="L1406" s="6"/>
      <c r="M1406" s="8" t="str">
        <f>$M$8</f>
        <v>BASE</v>
      </c>
      <c r="N1406" s="6"/>
      <c r="O1406" s="8" t="str">
        <f>$O$8</f>
        <v>SUPPLEMENTAL</v>
      </c>
      <c r="P1406" s="6"/>
      <c r="Q1406" s="8" t="str">
        <f>$Q$8</f>
        <v>BUDGET</v>
      </c>
    </row>
    <row r="1407" spans="1:17" ht="11.85" customHeight="1" x14ac:dyDescent="0.2"/>
    <row r="1408" spans="1:17" ht="11.85" customHeight="1" x14ac:dyDescent="0.2">
      <c r="A1408" s="10" t="s">
        <v>274</v>
      </c>
    </row>
    <row r="1409" spans="1:21" ht="11.85" customHeight="1" x14ac:dyDescent="0.2">
      <c r="A1409" s="3" t="s">
        <v>720</v>
      </c>
      <c r="C1409" s="2">
        <v>177202.58</v>
      </c>
      <c r="E1409" s="2">
        <v>160167.79999999999</v>
      </c>
      <c r="G1409" s="2">
        <v>174182.05</v>
      </c>
      <c r="I1409" s="2">
        <v>181999</v>
      </c>
      <c r="K1409" s="2">
        <v>181999</v>
      </c>
      <c r="L1409" s="9"/>
      <c r="M1409" s="2">
        <v>190995</v>
      </c>
      <c r="N1409" s="9"/>
      <c r="O1409" s="24">
        <v>0</v>
      </c>
      <c r="P1409" s="9"/>
      <c r="Q1409" s="2">
        <f t="shared" ref="Q1409:Q1418" si="48">M1409+O1409</f>
        <v>190995</v>
      </c>
      <c r="T1409" s="11"/>
    </row>
    <row r="1410" spans="1:21" ht="11.85" customHeight="1" x14ac:dyDescent="0.2">
      <c r="A1410" s="3" t="s">
        <v>721</v>
      </c>
      <c r="C1410" s="2">
        <v>1419.25</v>
      </c>
      <c r="E1410" s="2">
        <v>2280.36</v>
      </c>
      <c r="G1410" s="2">
        <v>1014.53</v>
      </c>
      <c r="I1410" s="2">
        <v>2000</v>
      </c>
      <c r="K1410" s="2">
        <v>2000</v>
      </c>
      <c r="L1410" s="9"/>
      <c r="M1410" s="2">
        <v>2000</v>
      </c>
      <c r="N1410" s="9"/>
      <c r="O1410" s="24">
        <v>0</v>
      </c>
      <c r="P1410" s="9"/>
      <c r="Q1410" s="2">
        <f t="shared" si="48"/>
        <v>2000</v>
      </c>
      <c r="T1410" s="11"/>
    </row>
    <row r="1411" spans="1:21" ht="11.85" customHeight="1" x14ac:dyDescent="0.2">
      <c r="A1411" s="3" t="s">
        <v>722</v>
      </c>
      <c r="C1411" s="2">
        <v>0</v>
      </c>
      <c r="E1411" s="2">
        <v>0</v>
      </c>
      <c r="G1411" s="2">
        <v>0</v>
      </c>
      <c r="I1411" s="2">
        <v>0</v>
      </c>
      <c r="K1411" s="2">
        <v>0</v>
      </c>
      <c r="L1411" s="9"/>
      <c r="M1411" s="2">
        <v>0</v>
      </c>
      <c r="N1411" s="9"/>
      <c r="O1411" s="24">
        <v>0</v>
      </c>
      <c r="P1411" s="9"/>
      <c r="Q1411" s="2">
        <f t="shared" si="48"/>
        <v>0</v>
      </c>
      <c r="T1411" s="11"/>
    </row>
    <row r="1412" spans="1:21" ht="11.85" customHeight="1" x14ac:dyDescent="0.2">
      <c r="A1412" s="3" t="s">
        <v>723</v>
      </c>
      <c r="C1412" s="2">
        <v>3780</v>
      </c>
      <c r="E1412" s="2">
        <v>3640</v>
      </c>
      <c r="G1412" s="2">
        <v>10690</v>
      </c>
      <c r="I1412" s="2">
        <v>10950</v>
      </c>
      <c r="K1412" s="2">
        <v>10950</v>
      </c>
      <c r="L1412" s="9"/>
      <c r="M1412" s="2">
        <v>10950</v>
      </c>
      <c r="N1412" s="9"/>
      <c r="O1412" s="24">
        <v>0</v>
      </c>
      <c r="P1412" s="9"/>
      <c r="Q1412" s="2">
        <f t="shared" si="48"/>
        <v>10950</v>
      </c>
      <c r="T1412" s="11"/>
    </row>
    <row r="1413" spans="1:21" ht="11.85" customHeight="1" x14ac:dyDescent="0.2">
      <c r="A1413" s="3" t="s">
        <v>724</v>
      </c>
      <c r="C1413" s="2">
        <v>300</v>
      </c>
      <c r="E1413" s="2">
        <v>300</v>
      </c>
      <c r="G1413" s="2">
        <v>300</v>
      </c>
      <c r="I1413" s="2">
        <v>300</v>
      </c>
      <c r="K1413" s="2">
        <v>300</v>
      </c>
      <c r="L1413" s="9"/>
      <c r="M1413" s="2">
        <v>300</v>
      </c>
      <c r="N1413" s="9"/>
      <c r="O1413" s="24">
        <v>0</v>
      </c>
      <c r="P1413" s="9"/>
      <c r="Q1413" s="2">
        <f t="shared" si="48"/>
        <v>300</v>
      </c>
      <c r="T1413" s="11"/>
    </row>
    <row r="1414" spans="1:21" ht="11.85" customHeight="1" x14ac:dyDescent="0.2">
      <c r="A1414" s="3" t="s">
        <v>725</v>
      </c>
      <c r="C1414" s="2">
        <v>54783.4</v>
      </c>
      <c r="E1414" s="2">
        <v>40940.17</v>
      </c>
      <c r="G1414" s="2">
        <v>51957.82</v>
      </c>
      <c r="I1414" s="2">
        <v>57300</v>
      </c>
      <c r="K1414" s="2">
        <f>53300-7034</f>
        <v>46266</v>
      </c>
      <c r="L1414" s="9"/>
      <c r="M1414" s="2">
        <v>50707</v>
      </c>
      <c r="N1414" s="9"/>
      <c r="O1414" s="24">
        <v>0</v>
      </c>
      <c r="P1414" s="9"/>
      <c r="Q1414" s="2">
        <f t="shared" si="48"/>
        <v>50707</v>
      </c>
      <c r="T1414" s="11"/>
    </row>
    <row r="1415" spans="1:21" ht="11.85" customHeight="1" x14ac:dyDescent="0.2">
      <c r="A1415" s="3" t="s">
        <v>726</v>
      </c>
      <c r="C1415" s="2">
        <v>18236</v>
      </c>
      <c r="E1415" s="2">
        <v>16061.99</v>
      </c>
      <c r="G1415" s="2">
        <v>18153.5</v>
      </c>
      <c r="I1415" s="2">
        <v>18322</v>
      </c>
      <c r="K1415" s="2">
        <v>18322</v>
      </c>
      <c r="L1415" s="9"/>
      <c r="M1415" s="2">
        <v>18745</v>
      </c>
      <c r="N1415" s="9"/>
      <c r="O1415" s="24">
        <v>0</v>
      </c>
      <c r="P1415" s="9"/>
      <c r="Q1415" s="2">
        <f t="shared" si="48"/>
        <v>18745</v>
      </c>
      <c r="T1415" s="11"/>
    </row>
    <row r="1416" spans="1:21" ht="11.85" customHeight="1" x14ac:dyDescent="0.2">
      <c r="A1416" s="3" t="s">
        <v>727</v>
      </c>
      <c r="C1416" s="2">
        <v>10813.6</v>
      </c>
      <c r="E1416" s="2">
        <v>9942.9599999999991</v>
      </c>
      <c r="G1416" s="2">
        <v>13776.04</v>
      </c>
      <c r="I1416" s="2">
        <v>11936</v>
      </c>
      <c r="K1416" s="2">
        <v>11936</v>
      </c>
      <c r="L1416" s="9"/>
      <c r="M1416" s="2">
        <v>7070</v>
      </c>
      <c r="N1416" s="9"/>
      <c r="O1416" s="24">
        <v>0</v>
      </c>
      <c r="P1416" s="9"/>
      <c r="Q1416" s="2">
        <f t="shared" si="48"/>
        <v>7070</v>
      </c>
      <c r="T1416" s="11"/>
    </row>
    <row r="1417" spans="1:21" ht="11.85" customHeight="1" x14ac:dyDescent="0.2">
      <c r="A1417" s="3" t="s">
        <v>728</v>
      </c>
      <c r="C1417" s="2">
        <v>1259.99</v>
      </c>
      <c r="E1417" s="2">
        <v>67.680000000000007</v>
      </c>
      <c r="G1417" s="2">
        <v>54</v>
      </c>
      <c r="I1417" s="2">
        <v>419</v>
      </c>
      <c r="K1417" s="2">
        <v>419</v>
      </c>
      <c r="L1417" s="9"/>
      <c r="M1417" s="2">
        <v>450</v>
      </c>
      <c r="N1417" s="9"/>
      <c r="O1417" s="24">
        <v>0</v>
      </c>
      <c r="P1417" s="9"/>
      <c r="Q1417" s="2">
        <f t="shared" si="48"/>
        <v>450</v>
      </c>
      <c r="T1417" s="11"/>
    </row>
    <row r="1418" spans="1:21" ht="11.85" customHeight="1" x14ac:dyDescent="0.2">
      <c r="A1418" s="3" t="s">
        <v>729</v>
      </c>
      <c r="C1418" s="12">
        <v>13490.46</v>
      </c>
      <c r="E1418" s="12">
        <v>13279.61</v>
      </c>
      <c r="G1418" s="12">
        <v>14251.46</v>
      </c>
      <c r="I1418" s="12">
        <v>14352</v>
      </c>
      <c r="K1418" s="12">
        <v>14352</v>
      </c>
      <c r="L1418" s="9"/>
      <c r="M1418" s="12">
        <v>15054</v>
      </c>
      <c r="N1418" s="9"/>
      <c r="O1418" s="26">
        <v>0</v>
      </c>
      <c r="P1418" s="9"/>
      <c r="Q1418" s="12">
        <f t="shared" si="48"/>
        <v>15054</v>
      </c>
      <c r="T1418" s="11"/>
    </row>
    <row r="1419" spans="1:21" ht="11.85" customHeight="1" x14ac:dyDescent="0.2">
      <c r="A1419" s="3" t="s">
        <v>285</v>
      </c>
      <c r="C1419" s="2">
        <f>SUM(C1409:C1418)</f>
        <v>281285.27999999997</v>
      </c>
      <c r="E1419" s="2">
        <f>SUM(E1409:E1418)</f>
        <v>246680.56999999995</v>
      </c>
      <c r="G1419" s="2">
        <f>SUM(G1409:G1418)</f>
        <v>284379.40000000002</v>
      </c>
      <c r="I1419" s="2">
        <f>SUM(I1409:I1418)</f>
        <v>297578</v>
      </c>
      <c r="K1419" s="2">
        <f>SUM(K1409:K1418)</f>
        <v>286544</v>
      </c>
      <c r="L1419" s="9"/>
      <c r="M1419" s="2">
        <f>SUM(M1409:M1418)</f>
        <v>296271</v>
      </c>
      <c r="N1419" s="9"/>
      <c r="O1419" s="24">
        <f>SUM(O1409:O1418)</f>
        <v>0</v>
      </c>
      <c r="P1419" s="9"/>
      <c r="Q1419" s="2">
        <f>SUM(Q1409:Q1418)</f>
        <v>296271</v>
      </c>
      <c r="R1419" s="9"/>
      <c r="U1419" s="9"/>
    </row>
    <row r="1420" spans="1:21" ht="11.85" customHeight="1" x14ac:dyDescent="0.2">
      <c r="L1420" s="9"/>
      <c r="N1420" s="9"/>
      <c r="P1420" s="9"/>
    </row>
    <row r="1421" spans="1:21" ht="11.85" customHeight="1" x14ac:dyDescent="0.2">
      <c r="A1421" s="10" t="s">
        <v>286</v>
      </c>
      <c r="L1421" s="9"/>
      <c r="N1421" s="9"/>
      <c r="P1421" s="9"/>
    </row>
    <row r="1422" spans="1:21" ht="11.85" customHeight="1" x14ac:dyDescent="0.2">
      <c r="A1422" s="3" t="s">
        <v>730</v>
      </c>
      <c r="C1422" s="2">
        <v>0</v>
      </c>
      <c r="E1422" s="2">
        <v>0</v>
      </c>
      <c r="G1422" s="2">
        <v>0</v>
      </c>
      <c r="I1422" s="2">
        <v>0</v>
      </c>
      <c r="K1422" s="2">
        <v>0</v>
      </c>
      <c r="L1422" s="9"/>
      <c r="M1422" s="2">
        <v>0</v>
      </c>
      <c r="N1422" s="9"/>
      <c r="O1422" s="2">
        <v>0</v>
      </c>
      <c r="P1422" s="9"/>
      <c r="Q1422" s="2">
        <f t="shared" ref="Q1422:Q1434" si="49">M1422+O1422</f>
        <v>0</v>
      </c>
      <c r="T1422" s="11"/>
    </row>
    <row r="1423" spans="1:21" ht="11.85" customHeight="1" x14ac:dyDescent="0.2">
      <c r="A1423" s="3" t="s">
        <v>731</v>
      </c>
      <c r="C1423" s="2">
        <v>15207.32</v>
      </c>
      <c r="E1423" s="2">
        <v>14371.45</v>
      </c>
      <c r="G1423" s="2">
        <v>15771.56</v>
      </c>
      <c r="I1423" s="2">
        <v>15000</v>
      </c>
      <c r="K1423" s="2">
        <v>15000</v>
      </c>
      <c r="L1423" s="9"/>
      <c r="M1423" s="2">
        <v>15000</v>
      </c>
      <c r="N1423" s="9"/>
      <c r="O1423" s="2">
        <v>0</v>
      </c>
      <c r="P1423" s="9"/>
      <c r="Q1423" s="2">
        <f t="shared" si="49"/>
        <v>15000</v>
      </c>
      <c r="T1423" s="11"/>
    </row>
    <row r="1424" spans="1:21" ht="11.85" customHeight="1" x14ac:dyDescent="0.2">
      <c r="A1424" s="3" t="s">
        <v>732</v>
      </c>
      <c r="C1424" s="2">
        <v>0</v>
      </c>
      <c r="E1424" s="2">
        <v>0</v>
      </c>
      <c r="G1424" s="2">
        <v>0</v>
      </c>
      <c r="I1424" s="2">
        <v>20000</v>
      </c>
      <c r="K1424" s="2">
        <v>20000</v>
      </c>
      <c r="L1424" s="9"/>
      <c r="M1424" s="2">
        <v>0</v>
      </c>
      <c r="N1424" s="9"/>
      <c r="O1424" s="2">
        <v>0</v>
      </c>
      <c r="P1424" s="9"/>
      <c r="Q1424" s="2">
        <f t="shared" si="49"/>
        <v>0</v>
      </c>
      <c r="T1424" s="11"/>
    </row>
    <row r="1425" spans="1:21" ht="11.85" customHeight="1" x14ac:dyDescent="0.2">
      <c r="A1425" s="3" t="s">
        <v>733</v>
      </c>
      <c r="C1425" s="2">
        <v>0</v>
      </c>
      <c r="E1425" s="2">
        <v>0</v>
      </c>
      <c r="G1425" s="2">
        <v>0</v>
      </c>
      <c r="I1425" s="2">
        <v>0</v>
      </c>
      <c r="K1425" s="2">
        <v>0</v>
      </c>
      <c r="L1425" s="9"/>
      <c r="M1425" s="2">
        <v>0</v>
      </c>
      <c r="N1425" s="9"/>
      <c r="O1425" s="2">
        <v>0</v>
      </c>
      <c r="P1425" s="9"/>
      <c r="Q1425" s="2">
        <f t="shared" si="49"/>
        <v>0</v>
      </c>
      <c r="T1425" s="11"/>
    </row>
    <row r="1426" spans="1:21" ht="11.85" hidden="1" customHeight="1" x14ac:dyDescent="0.2">
      <c r="A1426" s="3" t="s">
        <v>734</v>
      </c>
      <c r="C1426" s="2">
        <v>0</v>
      </c>
      <c r="E1426" s="2">
        <v>0</v>
      </c>
      <c r="G1426" s="2">
        <v>0</v>
      </c>
      <c r="I1426" s="2">
        <v>0</v>
      </c>
      <c r="K1426" s="2">
        <v>0</v>
      </c>
      <c r="L1426" s="9"/>
      <c r="M1426" s="2">
        <v>0</v>
      </c>
      <c r="N1426" s="9"/>
      <c r="O1426" s="2">
        <v>0</v>
      </c>
      <c r="P1426" s="9"/>
      <c r="Q1426" s="2">
        <f t="shared" si="49"/>
        <v>0</v>
      </c>
      <c r="T1426" s="11"/>
    </row>
    <row r="1427" spans="1:21" ht="11.85" hidden="1" customHeight="1" x14ac:dyDescent="0.2">
      <c r="A1427" s="3" t="s">
        <v>735</v>
      </c>
      <c r="C1427" s="2">
        <v>0</v>
      </c>
      <c r="E1427" s="2">
        <v>0</v>
      </c>
      <c r="G1427" s="2">
        <v>0</v>
      </c>
      <c r="I1427" s="2">
        <v>0</v>
      </c>
      <c r="K1427" s="2">
        <v>0</v>
      </c>
      <c r="L1427" s="9"/>
      <c r="M1427" s="2">
        <v>0</v>
      </c>
      <c r="N1427" s="9"/>
      <c r="O1427" s="2">
        <v>0</v>
      </c>
      <c r="P1427" s="9"/>
      <c r="Q1427" s="2">
        <f t="shared" si="49"/>
        <v>0</v>
      </c>
      <c r="T1427" s="11"/>
    </row>
    <row r="1428" spans="1:21" ht="11.85" customHeight="1" x14ac:dyDescent="0.2">
      <c r="A1428" s="3" t="s">
        <v>736</v>
      </c>
      <c r="C1428" s="2">
        <v>16757.259999999998</v>
      </c>
      <c r="E1428" s="2">
        <v>18157.21</v>
      </c>
      <c r="G1428" s="2">
        <v>20741.79</v>
      </c>
      <c r="I1428" s="2">
        <v>24000</v>
      </c>
      <c r="K1428" s="2">
        <v>24000</v>
      </c>
      <c r="L1428" s="9"/>
      <c r="M1428" s="2">
        <v>24600</v>
      </c>
      <c r="N1428" s="9"/>
      <c r="O1428" s="2">
        <v>0</v>
      </c>
      <c r="P1428" s="9"/>
      <c r="Q1428" s="2">
        <f t="shared" si="49"/>
        <v>24600</v>
      </c>
      <c r="T1428" s="11"/>
    </row>
    <row r="1429" spans="1:21" ht="11.85" customHeight="1" x14ac:dyDescent="0.2">
      <c r="A1429" s="3" t="s">
        <v>737</v>
      </c>
      <c r="C1429" s="2">
        <v>0</v>
      </c>
      <c r="E1429" s="2">
        <v>0</v>
      </c>
      <c r="G1429" s="2">
        <v>0</v>
      </c>
      <c r="I1429" s="2">
        <v>0</v>
      </c>
      <c r="K1429" s="2">
        <v>0</v>
      </c>
      <c r="L1429" s="9"/>
      <c r="M1429" s="2">
        <v>0</v>
      </c>
      <c r="N1429" s="9"/>
      <c r="O1429" s="2">
        <v>0</v>
      </c>
      <c r="P1429" s="9"/>
      <c r="Q1429" s="2">
        <f t="shared" si="49"/>
        <v>0</v>
      </c>
      <c r="T1429" s="11"/>
    </row>
    <row r="1430" spans="1:21" ht="11.85" customHeight="1" x14ac:dyDescent="0.2">
      <c r="A1430" s="3" t="s">
        <v>738</v>
      </c>
      <c r="C1430" s="2">
        <v>0</v>
      </c>
      <c r="E1430" s="2">
        <v>33.590000000000003</v>
      </c>
      <c r="G1430" s="2">
        <v>0</v>
      </c>
      <c r="I1430" s="2">
        <v>0</v>
      </c>
      <c r="K1430" s="2">
        <v>0</v>
      </c>
      <c r="L1430" s="9"/>
      <c r="M1430" s="2">
        <v>0</v>
      </c>
      <c r="N1430" s="9"/>
      <c r="O1430" s="2">
        <v>0</v>
      </c>
      <c r="P1430" s="9"/>
      <c r="Q1430" s="2">
        <f t="shared" si="49"/>
        <v>0</v>
      </c>
      <c r="T1430" s="11"/>
    </row>
    <row r="1431" spans="1:21" ht="11.85" customHeight="1" x14ac:dyDescent="0.2">
      <c r="A1431" s="3" t="s">
        <v>739</v>
      </c>
      <c r="C1431" s="2">
        <v>0</v>
      </c>
      <c r="E1431" s="2">
        <v>0</v>
      </c>
      <c r="G1431" s="2">
        <v>0</v>
      </c>
      <c r="I1431" s="2">
        <v>0</v>
      </c>
      <c r="K1431" s="2">
        <v>0</v>
      </c>
      <c r="L1431" s="9"/>
      <c r="M1431" s="2">
        <v>0</v>
      </c>
      <c r="N1431" s="9"/>
      <c r="O1431" s="2">
        <v>0</v>
      </c>
      <c r="P1431" s="9"/>
      <c r="Q1431" s="2">
        <f t="shared" si="49"/>
        <v>0</v>
      </c>
      <c r="T1431" s="11"/>
    </row>
    <row r="1432" spans="1:21" ht="11.85" customHeight="1" x14ac:dyDescent="0.2">
      <c r="A1432" s="3" t="s">
        <v>740</v>
      </c>
      <c r="C1432" s="2">
        <v>90.6</v>
      </c>
      <c r="E1432" s="2">
        <v>102.6</v>
      </c>
      <c r="G1432" s="2">
        <v>147.5</v>
      </c>
      <c r="I1432" s="2">
        <v>200</v>
      </c>
      <c r="K1432" s="2">
        <v>200</v>
      </c>
      <c r="L1432" s="9"/>
      <c r="M1432" s="2">
        <v>200</v>
      </c>
      <c r="N1432" s="9"/>
      <c r="O1432" s="2">
        <v>0</v>
      </c>
      <c r="P1432" s="9"/>
      <c r="Q1432" s="2">
        <f t="shared" si="49"/>
        <v>200</v>
      </c>
      <c r="T1432" s="11"/>
    </row>
    <row r="1433" spans="1:21" ht="11.85" customHeight="1" x14ac:dyDescent="0.2">
      <c r="A1433" s="3" t="s">
        <v>741</v>
      </c>
      <c r="C1433" s="2">
        <v>0</v>
      </c>
      <c r="E1433" s="2">
        <v>1289.98</v>
      </c>
      <c r="G1433" s="2">
        <v>0</v>
      </c>
      <c r="I1433" s="2">
        <v>0</v>
      </c>
      <c r="K1433" s="2">
        <v>0</v>
      </c>
      <c r="L1433" s="9"/>
      <c r="M1433" s="2">
        <v>0</v>
      </c>
      <c r="N1433" s="9"/>
      <c r="O1433" s="2">
        <v>0</v>
      </c>
      <c r="P1433" s="9"/>
      <c r="Q1433" s="2">
        <f t="shared" si="49"/>
        <v>0</v>
      </c>
      <c r="T1433" s="11"/>
    </row>
    <row r="1434" spans="1:21" ht="11.85" customHeight="1" x14ac:dyDescent="0.2">
      <c r="A1434" s="3" t="s">
        <v>742</v>
      </c>
      <c r="C1434" s="12">
        <v>400</v>
      </c>
      <c r="E1434" s="12">
        <v>500</v>
      </c>
      <c r="G1434" s="12">
        <v>0</v>
      </c>
      <c r="I1434" s="12">
        <v>0</v>
      </c>
      <c r="K1434" s="12">
        <v>0</v>
      </c>
      <c r="L1434" s="9"/>
      <c r="M1434" s="12">
        <v>0</v>
      </c>
      <c r="N1434" s="9"/>
      <c r="O1434" s="12">
        <v>0</v>
      </c>
      <c r="P1434" s="9"/>
      <c r="Q1434" s="12">
        <f t="shared" si="49"/>
        <v>0</v>
      </c>
      <c r="T1434" s="11"/>
    </row>
    <row r="1435" spans="1:21" ht="11.85" customHeight="1" x14ac:dyDescent="0.2">
      <c r="A1435" s="3" t="s">
        <v>304</v>
      </c>
      <c r="C1435" s="2">
        <f>SUM(C1422:C1434)</f>
        <v>32455.179999999997</v>
      </c>
      <c r="E1435" s="2">
        <f>SUM(E1422:E1434)</f>
        <v>34454.83</v>
      </c>
      <c r="G1435" s="2">
        <f>SUM(G1422:G1434)</f>
        <v>36660.85</v>
      </c>
      <c r="I1435" s="2">
        <f>SUM(I1422:I1434)</f>
        <v>59200</v>
      </c>
      <c r="K1435" s="2">
        <f>SUM(K1422:K1434)</f>
        <v>59200</v>
      </c>
      <c r="L1435" s="9"/>
      <c r="M1435" s="2">
        <f>SUM(M1422:M1434)</f>
        <v>39800</v>
      </c>
      <c r="N1435" s="9"/>
      <c r="O1435" s="2">
        <f>SUM(O1422:O1434)</f>
        <v>0</v>
      </c>
      <c r="P1435" s="9"/>
      <c r="Q1435" s="2">
        <f>SUM(Q1422:Q1434)</f>
        <v>39800</v>
      </c>
      <c r="U1435" s="9"/>
    </row>
    <row r="1436" spans="1:21" ht="11.85" customHeight="1" x14ac:dyDescent="0.2"/>
    <row r="1437" spans="1:21" ht="11.85" customHeight="1" x14ac:dyDescent="0.2">
      <c r="A1437" s="10" t="s">
        <v>305</v>
      </c>
    </row>
    <row r="1438" spans="1:21" ht="11.85" customHeight="1" x14ac:dyDescent="0.2">
      <c r="A1438" s="3" t="s">
        <v>743</v>
      </c>
      <c r="C1438" s="2">
        <v>103.13</v>
      </c>
      <c r="E1438" s="2">
        <v>1047.3499999999999</v>
      </c>
      <c r="G1438" s="2">
        <v>310</v>
      </c>
      <c r="I1438" s="2">
        <v>500</v>
      </c>
      <c r="K1438" s="2">
        <v>500</v>
      </c>
      <c r="L1438" s="9"/>
      <c r="M1438" s="2">
        <v>500</v>
      </c>
      <c r="N1438" s="9"/>
      <c r="O1438" s="2">
        <v>0</v>
      </c>
      <c r="P1438" s="9"/>
      <c r="Q1438" s="2">
        <f t="shared" ref="Q1438:Q1458" si="50">M1438+O1438</f>
        <v>500</v>
      </c>
      <c r="T1438" s="11"/>
    </row>
    <row r="1439" spans="1:21" ht="11.85" customHeight="1" x14ac:dyDescent="0.2">
      <c r="A1439" s="3" t="s">
        <v>744</v>
      </c>
      <c r="C1439" s="2">
        <v>605.04999999999995</v>
      </c>
      <c r="E1439" s="2">
        <v>280.8</v>
      </c>
      <c r="G1439" s="2">
        <v>632.11</v>
      </c>
      <c r="I1439" s="2">
        <v>600</v>
      </c>
      <c r="K1439" s="2">
        <v>4600</v>
      </c>
      <c r="L1439" s="9"/>
      <c r="M1439" s="2">
        <v>4600</v>
      </c>
      <c r="N1439" s="9"/>
      <c r="O1439" s="2">
        <v>0</v>
      </c>
      <c r="P1439" s="9"/>
      <c r="Q1439" s="2">
        <f t="shared" si="50"/>
        <v>4600</v>
      </c>
      <c r="T1439" s="11"/>
    </row>
    <row r="1440" spans="1:21" ht="11.85" customHeight="1" x14ac:dyDescent="0.2">
      <c r="A1440" s="3" t="s">
        <v>745</v>
      </c>
      <c r="C1440" s="2">
        <v>956.23</v>
      </c>
      <c r="E1440" s="2">
        <v>967.65</v>
      </c>
      <c r="G1440" s="2">
        <v>1209.72</v>
      </c>
      <c r="I1440" s="2">
        <v>1500</v>
      </c>
      <c r="K1440" s="2">
        <v>1500</v>
      </c>
      <c r="L1440" s="9"/>
      <c r="M1440" s="2">
        <v>1500</v>
      </c>
      <c r="N1440" s="9"/>
      <c r="O1440" s="2">
        <v>0</v>
      </c>
      <c r="P1440" s="9"/>
      <c r="Q1440" s="2">
        <f t="shared" si="50"/>
        <v>1500</v>
      </c>
      <c r="T1440" s="11"/>
    </row>
    <row r="1441" spans="1:20" ht="11.85" customHeight="1" x14ac:dyDescent="0.2">
      <c r="A1441" s="3" t="s">
        <v>746</v>
      </c>
      <c r="C1441" s="2">
        <v>13217.16</v>
      </c>
      <c r="E1441" s="2">
        <v>17050.79</v>
      </c>
      <c r="G1441" s="2">
        <v>21534.31</v>
      </c>
      <c r="I1441" s="2">
        <v>20000</v>
      </c>
      <c r="K1441" s="2">
        <v>20000</v>
      </c>
      <c r="L1441" s="9"/>
      <c r="M1441" s="2">
        <v>20000</v>
      </c>
      <c r="N1441" s="9"/>
      <c r="O1441" s="2">
        <v>0</v>
      </c>
      <c r="P1441" s="9"/>
      <c r="Q1441" s="2">
        <f t="shared" si="50"/>
        <v>20000</v>
      </c>
      <c r="T1441" s="11"/>
    </row>
    <row r="1442" spans="1:20" ht="11.85" customHeight="1" x14ac:dyDescent="0.2">
      <c r="A1442" s="3" t="s">
        <v>747</v>
      </c>
      <c r="C1442" s="2">
        <v>1365.13</v>
      </c>
      <c r="E1442" s="2">
        <v>1215.33</v>
      </c>
      <c r="G1442" s="2">
        <v>2590.8200000000002</v>
      </c>
      <c r="I1442" s="2">
        <v>3000</v>
      </c>
      <c r="K1442" s="2">
        <v>3000</v>
      </c>
      <c r="L1442" s="9"/>
      <c r="M1442" s="2">
        <v>3000</v>
      </c>
      <c r="N1442" s="9"/>
      <c r="O1442" s="2">
        <v>0</v>
      </c>
      <c r="P1442" s="9"/>
      <c r="Q1442" s="2">
        <f t="shared" si="50"/>
        <v>3000</v>
      </c>
      <c r="T1442" s="11"/>
    </row>
    <row r="1443" spans="1:20" ht="11.85" customHeight="1" x14ac:dyDescent="0.2">
      <c r="A1443" s="3" t="s">
        <v>748</v>
      </c>
      <c r="C1443" s="2">
        <v>0</v>
      </c>
      <c r="E1443" s="2">
        <v>0</v>
      </c>
      <c r="G1443" s="2">
        <v>0</v>
      </c>
      <c r="I1443" s="2">
        <v>0</v>
      </c>
      <c r="K1443" s="2">
        <v>0</v>
      </c>
      <c r="L1443" s="9"/>
      <c r="M1443" s="2">
        <v>0</v>
      </c>
      <c r="N1443" s="9"/>
      <c r="O1443" s="2">
        <v>0</v>
      </c>
      <c r="P1443" s="9"/>
      <c r="Q1443" s="2">
        <f t="shared" si="50"/>
        <v>0</v>
      </c>
      <c r="T1443" s="11"/>
    </row>
    <row r="1444" spans="1:20" ht="11.85" customHeight="1" x14ac:dyDescent="0.2">
      <c r="A1444" s="3" t="s">
        <v>749</v>
      </c>
      <c r="C1444" s="2">
        <v>0</v>
      </c>
      <c r="E1444" s="2">
        <v>0</v>
      </c>
      <c r="G1444" s="2">
        <v>0</v>
      </c>
      <c r="I1444" s="2">
        <v>0</v>
      </c>
      <c r="K1444" s="2">
        <v>0</v>
      </c>
      <c r="L1444" s="9"/>
      <c r="M1444" s="2">
        <v>0</v>
      </c>
      <c r="N1444" s="9"/>
      <c r="O1444" s="2">
        <v>0</v>
      </c>
      <c r="P1444" s="9"/>
      <c r="Q1444" s="2">
        <f t="shared" si="50"/>
        <v>0</v>
      </c>
      <c r="T1444" s="11"/>
    </row>
    <row r="1445" spans="1:20" ht="11.85" customHeight="1" x14ac:dyDescent="0.2">
      <c r="A1445" s="3" t="s">
        <v>750</v>
      </c>
      <c r="C1445" s="2">
        <v>0</v>
      </c>
      <c r="E1445" s="2">
        <v>0</v>
      </c>
      <c r="G1445" s="2">
        <v>0</v>
      </c>
      <c r="I1445" s="2">
        <v>200</v>
      </c>
      <c r="K1445" s="2">
        <v>200</v>
      </c>
      <c r="L1445" s="9"/>
      <c r="M1445" s="2">
        <v>200</v>
      </c>
      <c r="N1445" s="9"/>
      <c r="O1445" s="2">
        <v>0</v>
      </c>
      <c r="P1445" s="9"/>
      <c r="Q1445" s="2">
        <f t="shared" si="50"/>
        <v>200</v>
      </c>
      <c r="T1445" s="11"/>
    </row>
    <row r="1446" spans="1:20" ht="11.85" customHeight="1" x14ac:dyDescent="0.2">
      <c r="A1446" s="3" t="s">
        <v>751</v>
      </c>
      <c r="C1446" s="2">
        <v>12994.01</v>
      </c>
      <c r="E1446" s="2">
        <v>14206.73</v>
      </c>
      <c r="G1446" s="2">
        <v>20956.34</v>
      </c>
      <c r="I1446" s="2">
        <v>25000</v>
      </c>
      <c r="K1446" s="2">
        <v>25000</v>
      </c>
      <c r="L1446" s="9"/>
      <c r="M1446" s="2">
        <v>25000</v>
      </c>
      <c r="N1446" s="9"/>
      <c r="O1446" s="2">
        <v>0</v>
      </c>
      <c r="P1446" s="9"/>
      <c r="Q1446" s="2">
        <f t="shared" si="50"/>
        <v>25000</v>
      </c>
      <c r="T1446" s="11"/>
    </row>
    <row r="1447" spans="1:20" ht="11.85" customHeight="1" x14ac:dyDescent="0.2">
      <c r="A1447" s="3" t="s">
        <v>752</v>
      </c>
      <c r="C1447" s="2">
        <v>2603.37</v>
      </c>
      <c r="E1447" s="2">
        <v>3585.4</v>
      </c>
      <c r="G1447" s="2">
        <v>3485.78</v>
      </c>
      <c r="I1447" s="2">
        <v>4000</v>
      </c>
      <c r="K1447" s="2">
        <v>4000</v>
      </c>
      <c r="L1447" s="9"/>
      <c r="M1447" s="2">
        <v>4000</v>
      </c>
      <c r="N1447" s="9"/>
      <c r="O1447" s="2">
        <v>0</v>
      </c>
      <c r="P1447" s="9"/>
      <c r="Q1447" s="2">
        <f t="shared" si="50"/>
        <v>4000</v>
      </c>
      <c r="T1447" s="11"/>
    </row>
    <row r="1448" spans="1:20" ht="11.85" customHeight="1" x14ac:dyDescent="0.2">
      <c r="A1448" s="3" t="s">
        <v>753</v>
      </c>
      <c r="C1448" s="2">
        <v>14223.14</v>
      </c>
      <c r="E1448" s="2">
        <v>12085.81</v>
      </c>
      <c r="G1448" s="2">
        <v>15434.13</v>
      </c>
      <c r="I1448" s="2">
        <v>21000</v>
      </c>
      <c r="K1448" s="2">
        <v>21000</v>
      </c>
      <c r="L1448" s="9"/>
      <c r="M1448" s="2">
        <v>21000</v>
      </c>
      <c r="N1448" s="9"/>
      <c r="O1448" s="2">
        <v>0</v>
      </c>
      <c r="P1448" s="9"/>
      <c r="Q1448" s="2">
        <f t="shared" si="50"/>
        <v>21000</v>
      </c>
      <c r="T1448" s="11"/>
    </row>
    <row r="1449" spans="1:20" ht="11.85" customHeight="1" x14ac:dyDescent="0.2">
      <c r="A1449" s="3" t="s">
        <v>754</v>
      </c>
      <c r="C1449" s="2">
        <v>790.51</v>
      </c>
      <c r="E1449" s="2">
        <v>982.91</v>
      </c>
      <c r="G1449" s="2">
        <v>1042.22</v>
      </c>
      <c r="I1449" s="2">
        <v>1500</v>
      </c>
      <c r="K1449" s="2">
        <v>1500</v>
      </c>
      <c r="L1449" s="9"/>
      <c r="M1449" s="2">
        <v>1500</v>
      </c>
      <c r="N1449" s="9"/>
      <c r="O1449" s="2">
        <v>0</v>
      </c>
      <c r="P1449" s="9"/>
      <c r="Q1449" s="2">
        <f t="shared" si="50"/>
        <v>1500</v>
      </c>
      <c r="T1449" s="11"/>
    </row>
    <row r="1450" spans="1:20" ht="11.85" customHeight="1" x14ac:dyDescent="0.2">
      <c r="A1450" s="3" t="s">
        <v>755</v>
      </c>
      <c r="C1450" s="2">
        <v>0</v>
      </c>
      <c r="E1450" s="2">
        <v>82.72</v>
      </c>
      <c r="G1450" s="2">
        <v>17.61</v>
      </c>
      <c r="I1450" s="2">
        <v>700</v>
      </c>
      <c r="K1450" s="2">
        <v>700</v>
      </c>
      <c r="L1450" s="9"/>
      <c r="M1450" s="2">
        <v>300</v>
      </c>
      <c r="N1450" s="9"/>
      <c r="O1450" s="2">
        <v>0</v>
      </c>
      <c r="P1450" s="9"/>
      <c r="Q1450" s="2">
        <f t="shared" si="50"/>
        <v>300</v>
      </c>
      <c r="T1450" s="11"/>
    </row>
    <row r="1451" spans="1:20" ht="11.85" hidden="1" customHeight="1" x14ac:dyDescent="0.2">
      <c r="A1451" s="3" t="s">
        <v>756</v>
      </c>
      <c r="C1451" s="2">
        <v>0</v>
      </c>
      <c r="E1451" s="2">
        <v>0</v>
      </c>
      <c r="G1451" s="2">
        <v>0</v>
      </c>
      <c r="I1451" s="2">
        <v>0</v>
      </c>
      <c r="K1451" s="2">
        <v>0</v>
      </c>
      <c r="L1451" s="9"/>
      <c r="M1451" s="2">
        <v>0</v>
      </c>
      <c r="N1451" s="9"/>
      <c r="O1451" s="2">
        <v>0</v>
      </c>
      <c r="P1451" s="9"/>
      <c r="Q1451" s="2">
        <f t="shared" si="50"/>
        <v>0</v>
      </c>
      <c r="T1451" s="11"/>
    </row>
    <row r="1452" spans="1:20" ht="11.85" customHeight="1" x14ac:dyDescent="0.2">
      <c r="A1452" s="3" t="s">
        <v>757</v>
      </c>
      <c r="C1452" s="2">
        <v>149.29</v>
      </c>
      <c r="E1452" s="2">
        <v>0</v>
      </c>
      <c r="G1452" s="2">
        <v>105.76</v>
      </c>
      <c r="I1452" s="2">
        <v>250</v>
      </c>
      <c r="K1452" s="2">
        <v>250</v>
      </c>
      <c r="L1452" s="9"/>
      <c r="M1452" s="2">
        <v>0</v>
      </c>
      <c r="N1452" s="9"/>
      <c r="O1452" s="2">
        <v>0</v>
      </c>
      <c r="P1452" s="9"/>
      <c r="Q1452" s="2">
        <f t="shared" si="50"/>
        <v>0</v>
      </c>
      <c r="T1452" s="11"/>
    </row>
    <row r="1453" spans="1:20" ht="11.85" customHeight="1" x14ac:dyDescent="0.2">
      <c r="A1453" s="3" t="s">
        <v>758</v>
      </c>
      <c r="C1453" s="2">
        <v>4076.16</v>
      </c>
      <c r="E1453" s="2">
        <v>4249.57</v>
      </c>
      <c r="G1453" s="2">
        <v>3789.25</v>
      </c>
      <c r="I1453" s="2">
        <v>4000</v>
      </c>
      <c r="K1453" s="2">
        <v>4000</v>
      </c>
      <c r="L1453" s="9"/>
      <c r="M1453" s="2">
        <v>4400</v>
      </c>
      <c r="N1453" s="9"/>
      <c r="O1453" s="2">
        <v>0</v>
      </c>
      <c r="P1453" s="9"/>
      <c r="Q1453" s="2">
        <f t="shared" si="50"/>
        <v>4400</v>
      </c>
      <c r="T1453" s="11"/>
    </row>
    <row r="1454" spans="1:20" ht="11.85" customHeight="1" x14ac:dyDescent="0.2">
      <c r="A1454" s="3" t="s">
        <v>759</v>
      </c>
      <c r="C1454" s="2">
        <v>151304.54999999999</v>
      </c>
      <c r="E1454" s="2">
        <v>186886.23</v>
      </c>
      <c r="G1454" s="2">
        <v>63534.34</v>
      </c>
      <c r="I1454" s="2">
        <v>200000</v>
      </c>
      <c r="K1454" s="2">
        <v>200000</v>
      </c>
      <c r="L1454" s="9"/>
      <c r="M1454" s="2">
        <v>150000</v>
      </c>
      <c r="N1454" s="9"/>
      <c r="O1454" s="2">
        <v>0</v>
      </c>
      <c r="P1454" s="9"/>
      <c r="Q1454" s="2">
        <f t="shared" si="50"/>
        <v>150000</v>
      </c>
      <c r="T1454" s="11"/>
    </row>
    <row r="1455" spans="1:20" ht="11.85" hidden="1" customHeight="1" x14ac:dyDescent="0.2">
      <c r="A1455" s="3" t="s">
        <v>760</v>
      </c>
      <c r="C1455" s="2">
        <v>0</v>
      </c>
      <c r="E1455" s="2">
        <v>0</v>
      </c>
      <c r="G1455" s="2">
        <v>0</v>
      </c>
      <c r="I1455" s="2">
        <v>0</v>
      </c>
      <c r="K1455" s="2">
        <v>0</v>
      </c>
      <c r="L1455" s="9"/>
      <c r="M1455" s="2">
        <v>0</v>
      </c>
      <c r="N1455" s="9"/>
      <c r="O1455" s="2">
        <v>0</v>
      </c>
      <c r="P1455" s="9"/>
      <c r="Q1455" s="2">
        <f t="shared" si="50"/>
        <v>0</v>
      </c>
      <c r="T1455" s="11"/>
    </row>
    <row r="1456" spans="1:20" ht="11.85" hidden="1" customHeight="1" x14ac:dyDescent="0.2">
      <c r="A1456" s="3" t="s">
        <v>761</v>
      </c>
      <c r="C1456" s="2">
        <v>0</v>
      </c>
      <c r="E1456" s="2">
        <v>0</v>
      </c>
      <c r="G1456" s="2">
        <v>0</v>
      </c>
      <c r="I1456" s="2">
        <v>0</v>
      </c>
      <c r="K1456" s="2">
        <v>0</v>
      </c>
      <c r="L1456" s="9"/>
      <c r="M1456" s="2">
        <v>0</v>
      </c>
      <c r="N1456" s="9"/>
      <c r="O1456" s="2">
        <v>0</v>
      </c>
      <c r="P1456" s="9"/>
      <c r="Q1456" s="2">
        <f t="shared" si="50"/>
        <v>0</v>
      </c>
      <c r="T1456" s="11"/>
    </row>
    <row r="1457" spans="1:23" ht="11.85" customHeight="1" x14ac:dyDescent="0.2">
      <c r="A1457" s="3" t="s">
        <v>762</v>
      </c>
      <c r="C1457" s="2">
        <v>11072.43</v>
      </c>
      <c r="E1457" s="2">
        <v>6473.18</v>
      </c>
      <c r="G1457" s="2">
        <v>7502.82</v>
      </c>
      <c r="I1457" s="2">
        <v>10510</v>
      </c>
      <c r="K1457" s="2">
        <v>10510</v>
      </c>
      <c r="L1457" s="9"/>
      <c r="M1457" s="2">
        <v>12500</v>
      </c>
      <c r="N1457" s="9"/>
      <c r="O1457" s="2">
        <v>10000</v>
      </c>
      <c r="P1457" s="9"/>
      <c r="Q1457" s="2">
        <f t="shared" si="50"/>
        <v>22500</v>
      </c>
      <c r="T1457" s="11"/>
    </row>
    <row r="1458" spans="1:23" ht="11.85" customHeight="1" x14ac:dyDescent="0.2">
      <c r="A1458" s="3" t="s">
        <v>763</v>
      </c>
      <c r="C1458" s="12">
        <v>203529</v>
      </c>
      <c r="E1458" s="12">
        <v>196942.23</v>
      </c>
      <c r="G1458" s="12">
        <v>23796.03</v>
      </c>
      <c r="I1458" s="12">
        <v>40550</v>
      </c>
      <c r="K1458" s="12">
        <v>40550</v>
      </c>
      <c r="L1458" s="9"/>
      <c r="M1458" s="12">
        <v>66000</v>
      </c>
      <c r="N1458" s="9"/>
      <c r="O1458" s="12">
        <v>40000</v>
      </c>
      <c r="P1458" s="9"/>
      <c r="Q1458" s="12">
        <f t="shared" si="50"/>
        <v>106000</v>
      </c>
      <c r="T1458" s="11"/>
    </row>
    <row r="1459" spans="1:23" ht="11.85" customHeight="1" x14ac:dyDescent="0.2">
      <c r="A1459" s="3" t="s">
        <v>328</v>
      </c>
      <c r="C1459" s="2">
        <f>SUM(C1438:C1446)+SUM(C1447:C1458)</f>
        <v>416989.16</v>
      </c>
      <c r="E1459" s="2">
        <f>SUM(E1438:E1446)+SUM(E1447:E1458)</f>
        <v>446056.70000000007</v>
      </c>
      <c r="G1459" s="2">
        <f>SUM(G1438:G1446)+SUM(G1447:G1458)</f>
        <v>165941.24</v>
      </c>
      <c r="I1459" s="2">
        <f>SUM(I1438:I1446)+SUM(I1447:I1458)</f>
        <v>333310</v>
      </c>
      <c r="K1459" s="2">
        <f>SUM(K1438:K1446)+SUM(K1447:K1458)</f>
        <v>337310</v>
      </c>
      <c r="L1459" s="9"/>
      <c r="M1459" s="2">
        <f>SUM(M1438:M1446)+SUM(M1447:M1458)</f>
        <v>314500</v>
      </c>
      <c r="N1459" s="9"/>
      <c r="O1459" s="24">
        <f>SUM(O1438:O1446)+SUM(O1447:O1458)</f>
        <v>50000</v>
      </c>
      <c r="P1459" s="9"/>
      <c r="Q1459" s="2">
        <f>SUM(Q1438:Q1446)+SUM(Q1447:Q1458)</f>
        <v>364500</v>
      </c>
      <c r="T1459" s="14"/>
      <c r="U1459" s="9"/>
      <c r="W1459" s="9"/>
    </row>
    <row r="1460" spans="1:23" ht="11.85" customHeight="1" x14ac:dyDescent="0.2">
      <c r="L1460" s="9"/>
      <c r="N1460" s="9"/>
      <c r="P1460" s="9"/>
    </row>
    <row r="1461" spans="1:23" ht="11.85" customHeight="1" x14ac:dyDescent="0.2">
      <c r="A1461" s="3" t="s">
        <v>764</v>
      </c>
      <c r="C1461" s="2">
        <v>0</v>
      </c>
      <c r="E1461" s="2">
        <v>0</v>
      </c>
      <c r="G1461" s="2">
        <v>0</v>
      </c>
      <c r="I1461" s="2">
        <v>0</v>
      </c>
      <c r="K1461" s="2">
        <v>0</v>
      </c>
      <c r="L1461" s="9"/>
      <c r="M1461" s="2">
        <v>0</v>
      </c>
      <c r="N1461" s="9"/>
      <c r="O1461" s="2">
        <v>0</v>
      </c>
      <c r="P1461" s="9"/>
      <c r="Q1461" s="2">
        <f>M1461+O1461</f>
        <v>0</v>
      </c>
      <c r="T1461" s="11"/>
    </row>
    <row r="1462" spans="1:23" ht="11.85" customHeight="1" x14ac:dyDescent="0.2">
      <c r="A1462" s="3" t="s">
        <v>765</v>
      </c>
      <c r="C1462" s="12">
        <v>0</v>
      </c>
      <c r="E1462" s="12">
        <v>75225</v>
      </c>
      <c r="G1462" s="12">
        <v>199200</v>
      </c>
      <c r="I1462" s="12">
        <v>0</v>
      </c>
      <c r="K1462" s="12">
        <v>0</v>
      </c>
      <c r="L1462" s="9"/>
      <c r="M1462" s="12">
        <v>250000</v>
      </c>
      <c r="N1462" s="9"/>
      <c r="O1462" s="12">
        <f>110000+250000</f>
        <v>360000</v>
      </c>
      <c r="P1462" s="9"/>
      <c r="Q1462" s="12">
        <f>M1462+O1462</f>
        <v>610000</v>
      </c>
      <c r="T1462" s="11"/>
    </row>
    <row r="1463" spans="1:23" ht="11.85" customHeight="1" x14ac:dyDescent="0.2">
      <c r="A1463" s="3" t="s">
        <v>331</v>
      </c>
      <c r="C1463" s="2">
        <f>SUM(C1461:C1462)</f>
        <v>0</v>
      </c>
      <c r="E1463" s="2">
        <f>SUM(E1461:E1462)</f>
        <v>75225</v>
      </c>
      <c r="G1463" s="2">
        <f>SUM(G1461:G1462)</f>
        <v>199200</v>
      </c>
      <c r="I1463" s="2">
        <f>SUM(I1461:I1462)</f>
        <v>0</v>
      </c>
      <c r="K1463" s="2">
        <f>SUM(K1461:K1462)</f>
        <v>0</v>
      </c>
      <c r="L1463" s="9"/>
      <c r="M1463" s="2">
        <f>SUM(M1461:M1462)</f>
        <v>250000</v>
      </c>
      <c r="N1463" s="9"/>
      <c r="O1463" s="2">
        <f>SUM(O1461:O1462)</f>
        <v>360000</v>
      </c>
      <c r="P1463" s="9"/>
      <c r="Q1463" s="2">
        <f>SUM(Q1461:Q1462)</f>
        <v>610000</v>
      </c>
      <c r="U1463" s="9"/>
    </row>
    <row r="1464" spans="1:23" ht="11.85" customHeight="1" x14ac:dyDescent="0.2">
      <c r="A1464" s="3" t="s">
        <v>766</v>
      </c>
      <c r="C1464" s="2">
        <f>C1419+C1435+C1459+C1463</f>
        <v>730729.61999999988</v>
      </c>
      <c r="E1464" s="2">
        <f>E1419+E1435+E1459+E1463</f>
        <v>802417.10000000009</v>
      </c>
      <c r="G1464" s="2">
        <f>G1419+G1435+G1459+G1463</f>
        <v>686181.49</v>
      </c>
      <c r="I1464" s="2">
        <f>I1419+I1435+I1459+I1463</f>
        <v>690088</v>
      </c>
      <c r="K1464" s="2">
        <f>K1419+K1435+K1459+K1463</f>
        <v>683054</v>
      </c>
      <c r="L1464" s="9"/>
      <c r="M1464" s="2">
        <f>M1419+M1435+M1459+M1463</f>
        <v>900571</v>
      </c>
      <c r="N1464" s="9"/>
      <c r="O1464" s="24">
        <f>O1419+O1435+O1459+O1463</f>
        <v>410000</v>
      </c>
      <c r="P1464" s="9"/>
      <c r="Q1464" s="2">
        <f>Q1419+Q1435+Q1459+Q1463</f>
        <v>1310571</v>
      </c>
      <c r="R1464" s="9"/>
      <c r="T1464" s="11"/>
      <c r="U1464" s="9"/>
    </row>
    <row r="1465" spans="1:23" ht="11.85" customHeight="1" x14ac:dyDescent="0.2">
      <c r="L1465" s="9"/>
      <c r="N1465" s="9"/>
      <c r="P1465" s="9"/>
      <c r="T1465" s="11"/>
    </row>
    <row r="1466" spans="1:23" ht="11.85" customHeight="1" x14ac:dyDescent="0.2">
      <c r="A1466" s="1"/>
      <c r="B1466" s="1"/>
      <c r="E1466" s="2" t="str">
        <f>$E$1</f>
        <v>CITY OF BRADY</v>
      </c>
    </row>
    <row r="1467" spans="1:23" ht="11.85" customHeight="1" x14ac:dyDescent="0.2">
      <c r="E1467" s="2" t="str">
        <f>$E$2</f>
        <v>BUDGET REPORT</v>
      </c>
    </row>
    <row r="1468" spans="1:23" ht="11.85" customHeight="1" x14ac:dyDescent="0.2">
      <c r="E1468" s="2" t="str">
        <f>$E$3</f>
        <v>FISCAL YEAR 2024 - 2025</v>
      </c>
    </row>
    <row r="1469" spans="1:23" ht="11.85" customHeight="1" x14ac:dyDescent="0.2">
      <c r="A1469" s="3" t="s">
        <v>3</v>
      </c>
    </row>
    <row r="1470" spans="1:23" ht="11.85" customHeight="1" x14ac:dyDescent="0.2">
      <c r="A1470" s="3" t="s">
        <v>767</v>
      </c>
    </row>
    <row r="1471" spans="1:23" ht="11.85" customHeight="1" x14ac:dyDescent="0.2">
      <c r="I1471" s="53" t="str">
        <f>$I$6</f>
        <v>(----- 2023-2024------)</v>
      </c>
      <c r="J1471" s="53"/>
      <c r="K1471" s="53"/>
      <c r="L1471" s="6"/>
      <c r="M1471" s="54" t="str">
        <f>$M$6</f>
        <v>2024-2025</v>
      </c>
      <c r="N1471" s="54"/>
      <c r="O1471" s="54"/>
      <c r="P1471" s="54"/>
      <c r="Q1471" s="54"/>
    </row>
    <row r="1472" spans="1:23" ht="11.85" customHeight="1" x14ac:dyDescent="0.2">
      <c r="C1472" s="5" t="str">
        <f>$C$7</f>
        <v>2020-2021</v>
      </c>
      <c r="D1472" s="5"/>
      <c r="E1472" s="5" t="str">
        <f>$E$7</f>
        <v>2021-2022</v>
      </c>
      <c r="F1472" s="5"/>
      <c r="G1472" s="5" t="str">
        <f>$G$7</f>
        <v>2022-2023</v>
      </c>
      <c r="H1472" s="5"/>
      <c r="I1472" s="5" t="s">
        <v>9</v>
      </c>
      <c r="J1472" s="5"/>
      <c r="K1472" s="5" t="str">
        <f>+$K$7</f>
        <v>PROJECTED</v>
      </c>
      <c r="L1472" s="6"/>
      <c r="M1472" s="5">
        <f>$M$7</f>
        <v>0</v>
      </c>
      <c r="N1472" s="6"/>
      <c r="O1472" s="5" t="str">
        <f>$O$7</f>
        <v>2024-2025</v>
      </c>
      <c r="P1472" s="6"/>
      <c r="Q1472" s="5" t="str">
        <f>$Q$7</f>
        <v>APPROVED</v>
      </c>
    </row>
    <row r="1473" spans="1:21" ht="11.85" customHeight="1" x14ac:dyDescent="0.2">
      <c r="A1473" s="7" t="s">
        <v>273</v>
      </c>
      <c r="C1473" s="8" t="s">
        <v>12</v>
      </c>
      <c r="D1473" s="5"/>
      <c r="E1473" s="8" t="s">
        <v>12</v>
      </c>
      <c r="F1473" s="5"/>
      <c r="G1473" s="8" t="s">
        <v>12</v>
      </c>
      <c r="H1473" s="5"/>
      <c r="I1473" s="8" t="s">
        <v>13</v>
      </c>
      <c r="J1473" s="5"/>
      <c r="K1473" s="8" t="s">
        <v>13</v>
      </c>
      <c r="L1473" s="6"/>
      <c r="M1473" s="8" t="str">
        <f>$M$8</f>
        <v>BASE</v>
      </c>
      <c r="N1473" s="6"/>
      <c r="O1473" s="8" t="str">
        <f>$O$8</f>
        <v>SUPPLEMENTAL</v>
      </c>
      <c r="P1473" s="6"/>
      <c r="Q1473" s="8" t="str">
        <f>$Q$8</f>
        <v>BUDGET</v>
      </c>
    </row>
    <row r="1474" spans="1:21" ht="11.85" customHeight="1" x14ac:dyDescent="0.2"/>
    <row r="1475" spans="1:21" ht="11.85" customHeight="1" x14ac:dyDescent="0.2">
      <c r="A1475" s="10" t="s">
        <v>274</v>
      </c>
    </row>
    <row r="1476" spans="1:21" ht="11.85" customHeight="1" x14ac:dyDescent="0.2">
      <c r="A1476" s="3" t="s">
        <v>768</v>
      </c>
      <c r="C1476" s="2">
        <v>6237.92</v>
      </c>
      <c r="E1476" s="2">
        <v>4083.05</v>
      </c>
      <c r="G1476" s="2">
        <v>0</v>
      </c>
      <c r="I1476" s="2">
        <v>0</v>
      </c>
      <c r="K1476" s="2">
        <v>0</v>
      </c>
      <c r="L1476" s="9"/>
      <c r="M1476" s="2">
        <v>0</v>
      </c>
      <c r="N1476" s="9"/>
      <c r="O1476" s="24">
        <v>0</v>
      </c>
      <c r="P1476" s="9"/>
      <c r="Q1476" s="2">
        <f t="shared" ref="Q1476:Q1485" si="51">M1476+O1476</f>
        <v>0</v>
      </c>
      <c r="T1476" s="11"/>
    </row>
    <row r="1477" spans="1:21" ht="11.85" customHeight="1" x14ac:dyDescent="0.2">
      <c r="A1477" s="3" t="s">
        <v>769</v>
      </c>
      <c r="C1477" s="2">
        <v>0</v>
      </c>
      <c r="E1477" s="2">
        <v>4.82</v>
      </c>
      <c r="G1477" s="2">
        <v>0</v>
      </c>
      <c r="I1477" s="2">
        <v>0</v>
      </c>
      <c r="K1477" s="2">
        <v>0</v>
      </c>
      <c r="L1477" s="9"/>
      <c r="M1477" s="2">
        <v>0</v>
      </c>
      <c r="N1477" s="9"/>
      <c r="O1477" s="24">
        <v>0</v>
      </c>
      <c r="P1477" s="9"/>
      <c r="Q1477" s="2">
        <f t="shared" si="51"/>
        <v>0</v>
      </c>
      <c r="T1477" s="11"/>
    </row>
    <row r="1478" spans="1:21" ht="11.85" hidden="1" customHeight="1" x14ac:dyDescent="0.2">
      <c r="A1478" s="3" t="s">
        <v>770</v>
      </c>
      <c r="C1478" s="2">
        <v>0</v>
      </c>
      <c r="E1478" s="2">
        <v>0</v>
      </c>
      <c r="G1478" s="2">
        <v>0</v>
      </c>
      <c r="I1478" s="2">
        <v>0</v>
      </c>
      <c r="K1478" s="2">
        <v>0</v>
      </c>
      <c r="L1478" s="9"/>
      <c r="M1478" s="2">
        <v>0</v>
      </c>
      <c r="N1478" s="9"/>
      <c r="O1478" s="24">
        <v>0</v>
      </c>
      <c r="P1478" s="9"/>
      <c r="Q1478" s="2">
        <f t="shared" si="51"/>
        <v>0</v>
      </c>
      <c r="T1478" s="11"/>
    </row>
    <row r="1479" spans="1:21" ht="11.85" hidden="1" customHeight="1" x14ac:dyDescent="0.2">
      <c r="A1479" s="3" t="s">
        <v>771</v>
      </c>
      <c r="C1479" s="2">
        <v>0</v>
      </c>
      <c r="E1479" s="2">
        <v>0</v>
      </c>
      <c r="G1479" s="2">
        <v>0</v>
      </c>
      <c r="I1479" s="2">
        <v>0</v>
      </c>
      <c r="K1479" s="2">
        <v>0</v>
      </c>
      <c r="L1479" s="9"/>
      <c r="M1479" s="2">
        <v>0</v>
      </c>
      <c r="N1479" s="9"/>
      <c r="O1479" s="24">
        <v>0</v>
      </c>
      <c r="P1479" s="9"/>
      <c r="Q1479" s="2">
        <f t="shared" si="51"/>
        <v>0</v>
      </c>
      <c r="T1479" s="11"/>
    </row>
    <row r="1480" spans="1:21" ht="11.85" hidden="1" customHeight="1" x14ac:dyDescent="0.2">
      <c r="A1480" s="3" t="s">
        <v>772</v>
      </c>
      <c r="C1480" s="2">
        <v>0</v>
      </c>
      <c r="E1480" s="2">
        <v>0</v>
      </c>
      <c r="G1480" s="2">
        <v>0</v>
      </c>
      <c r="I1480" s="2">
        <v>0</v>
      </c>
      <c r="K1480" s="2">
        <v>0</v>
      </c>
      <c r="L1480" s="9"/>
      <c r="M1480" s="2">
        <v>0</v>
      </c>
      <c r="N1480" s="9"/>
      <c r="O1480" s="24">
        <v>0</v>
      </c>
      <c r="P1480" s="9"/>
      <c r="Q1480" s="2">
        <f t="shared" si="51"/>
        <v>0</v>
      </c>
      <c r="T1480" s="11"/>
    </row>
    <row r="1481" spans="1:21" ht="11.85" customHeight="1" x14ac:dyDescent="0.2">
      <c r="A1481" s="3" t="s">
        <v>773</v>
      </c>
      <c r="C1481" s="2">
        <v>1455.42</v>
      </c>
      <c r="E1481" s="2">
        <v>1798.9</v>
      </c>
      <c r="G1481" s="2">
        <v>0</v>
      </c>
      <c r="I1481" s="2">
        <v>0</v>
      </c>
      <c r="K1481" s="2">
        <v>0</v>
      </c>
      <c r="L1481" s="9"/>
      <c r="M1481" s="2">
        <v>0</v>
      </c>
      <c r="N1481" s="9"/>
      <c r="O1481" s="24">
        <v>0</v>
      </c>
      <c r="P1481" s="9"/>
      <c r="Q1481" s="2">
        <f t="shared" si="51"/>
        <v>0</v>
      </c>
      <c r="T1481" s="11"/>
    </row>
    <row r="1482" spans="1:21" ht="11.85" customHeight="1" x14ac:dyDescent="0.2">
      <c r="A1482" s="3" t="s">
        <v>774</v>
      </c>
      <c r="C1482" s="2">
        <v>344.99</v>
      </c>
      <c r="E1482" s="2">
        <v>395.25</v>
      </c>
      <c r="G1482" s="2">
        <v>0</v>
      </c>
      <c r="I1482" s="2">
        <v>0</v>
      </c>
      <c r="K1482" s="2">
        <v>0</v>
      </c>
      <c r="L1482" s="9"/>
      <c r="M1482" s="2">
        <v>0</v>
      </c>
      <c r="N1482" s="9"/>
      <c r="O1482" s="24">
        <v>0</v>
      </c>
      <c r="P1482" s="9"/>
      <c r="Q1482" s="2">
        <f t="shared" si="51"/>
        <v>0</v>
      </c>
      <c r="T1482" s="11"/>
    </row>
    <row r="1483" spans="1:21" ht="11.85" customHeight="1" x14ac:dyDescent="0.2">
      <c r="A1483" s="3" t="s">
        <v>775</v>
      </c>
      <c r="C1483" s="2">
        <v>0</v>
      </c>
      <c r="E1483" s="2">
        <v>0</v>
      </c>
      <c r="G1483" s="2">
        <v>0</v>
      </c>
      <c r="I1483" s="2">
        <v>0</v>
      </c>
      <c r="K1483" s="2">
        <v>0</v>
      </c>
      <c r="L1483" s="9"/>
      <c r="M1483" s="2">
        <v>0</v>
      </c>
      <c r="N1483" s="9"/>
      <c r="O1483" s="24">
        <v>0</v>
      </c>
      <c r="P1483" s="9"/>
      <c r="Q1483" s="2">
        <f t="shared" si="51"/>
        <v>0</v>
      </c>
      <c r="T1483" s="11"/>
    </row>
    <row r="1484" spans="1:21" ht="11.85" customHeight="1" x14ac:dyDescent="0.2">
      <c r="A1484" s="3" t="s">
        <v>776</v>
      </c>
      <c r="C1484" s="2">
        <v>0</v>
      </c>
      <c r="E1484" s="2">
        <v>0</v>
      </c>
      <c r="G1484" s="2">
        <v>0</v>
      </c>
      <c r="I1484" s="2">
        <v>0</v>
      </c>
      <c r="K1484" s="2">
        <v>0</v>
      </c>
      <c r="L1484" s="9"/>
      <c r="M1484" s="2">
        <v>0</v>
      </c>
      <c r="N1484" s="9"/>
      <c r="O1484" s="24">
        <v>0</v>
      </c>
      <c r="P1484" s="9"/>
      <c r="Q1484" s="2">
        <f t="shared" si="51"/>
        <v>0</v>
      </c>
      <c r="T1484" s="11"/>
    </row>
    <row r="1485" spans="1:21" ht="11.85" customHeight="1" x14ac:dyDescent="0.2">
      <c r="A1485" s="3" t="s">
        <v>777</v>
      </c>
      <c r="C1485" s="12">
        <v>247.46</v>
      </c>
      <c r="E1485" s="12">
        <v>331.95</v>
      </c>
      <c r="G1485" s="12">
        <v>0</v>
      </c>
      <c r="I1485" s="12">
        <v>0</v>
      </c>
      <c r="K1485" s="12">
        <v>0</v>
      </c>
      <c r="L1485" s="9"/>
      <c r="M1485" s="12">
        <v>0</v>
      </c>
      <c r="N1485" s="9"/>
      <c r="O1485" s="26">
        <v>0</v>
      </c>
      <c r="P1485" s="9"/>
      <c r="Q1485" s="12">
        <f t="shared" si="51"/>
        <v>0</v>
      </c>
      <c r="T1485" s="11"/>
    </row>
    <row r="1486" spans="1:21" ht="11.85" customHeight="1" x14ac:dyDescent="0.2">
      <c r="A1486" s="3" t="s">
        <v>285</v>
      </c>
      <c r="C1486" s="2">
        <f>SUM(C1476:C1485)</f>
        <v>8285.7899999999991</v>
      </c>
      <c r="E1486" s="2">
        <f>SUM(E1476:E1485)</f>
        <v>6613.97</v>
      </c>
      <c r="G1486" s="2">
        <f>SUM(G1476:G1485)</f>
        <v>0</v>
      </c>
      <c r="I1486" s="2">
        <f>SUM(I1476:I1485)</f>
        <v>0</v>
      </c>
      <c r="K1486" s="2">
        <f>SUM(K1476:K1485)</f>
        <v>0</v>
      </c>
      <c r="L1486" s="9"/>
      <c r="M1486" s="2">
        <f>SUM(M1476:M1485)</f>
        <v>0</v>
      </c>
      <c r="N1486" s="9"/>
      <c r="O1486" s="24">
        <f>SUM(O1476:O1485)</f>
        <v>0</v>
      </c>
      <c r="P1486" s="9"/>
      <c r="Q1486" s="2">
        <f>SUM(Q1476:Q1485)</f>
        <v>0</v>
      </c>
      <c r="R1486" s="9"/>
      <c r="T1486" s="14"/>
      <c r="U1486" s="9"/>
    </row>
    <row r="1487" spans="1:21" ht="11.85" customHeight="1" x14ac:dyDescent="0.2"/>
    <row r="1488" spans="1:21" ht="11.85" customHeight="1" x14ac:dyDescent="0.2">
      <c r="A1488" s="10" t="s">
        <v>286</v>
      </c>
    </row>
    <row r="1489" spans="1:21" ht="11.85" customHeight="1" x14ac:dyDescent="0.2">
      <c r="A1489" s="3" t="s">
        <v>778</v>
      </c>
      <c r="C1489" s="2">
        <v>10253.36</v>
      </c>
      <c r="E1489" s="2">
        <v>16518.68</v>
      </c>
      <c r="G1489" s="2">
        <v>5253.84</v>
      </c>
      <c r="I1489" s="2">
        <v>5000</v>
      </c>
      <c r="K1489" s="2">
        <v>5000</v>
      </c>
      <c r="L1489" s="9"/>
      <c r="M1489" s="2">
        <v>5000</v>
      </c>
      <c r="N1489" s="9"/>
      <c r="O1489" s="2">
        <v>0</v>
      </c>
      <c r="P1489" s="9"/>
      <c r="Q1489" s="2">
        <f t="shared" ref="Q1489:Q1494" si="52">M1489+O1489</f>
        <v>5000</v>
      </c>
      <c r="T1489" s="11"/>
    </row>
    <row r="1490" spans="1:21" ht="11.85" hidden="1" customHeight="1" x14ac:dyDescent="0.2">
      <c r="A1490" s="3" t="s">
        <v>779</v>
      </c>
      <c r="C1490" s="2">
        <v>0</v>
      </c>
      <c r="E1490" s="2">
        <v>0</v>
      </c>
      <c r="G1490" s="2">
        <v>0</v>
      </c>
      <c r="I1490" s="2">
        <v>0</v>
      </c>
      <c r="K1490" s="2">
        <v>0</v>
      </c>
      <c r="L1490" s="9"/>
      <c r="M1490" s="2">
        <v>0</v>
      </c>
      <c r="N1490" s="9"/>
      <c r="O1490" s="2">
        <v>0</v>
      </c>
      <c r="P1490" s="9"/>
      <c r="Q1490" s="2">
        <f t="shared" si="52"/>
        <v>0</v>
      </c>
      <c r="T1490" s="11"/>
    </row>
    <row r="1491" spans="1:21" ht="11.85" customHeight="1" x14ac:dyDescent="0.2">
      <c r="A1491" s="3" t="s">
        <v>780</v>
      </c>
      <c r="C1491" s="2">
        <v>1831.65</v>
      </c>
      <c r="E1491" s="2">
        <v>2760.81</v>
      </c>
      <c r="G1491" s="2">
        <v>1625.72</v>
      </c>
      <c r="I1491" s="2">
        <v>1600</v>
      </c>
      <c r="K1491" s="2">
        <f>4100+1000</f>
        <v>5100</v>
      </c>
      <c r="L1491" s="9"/>
      <c r="M1491" s="2">
        <v>1600</v>
      </c>
      <c r="N1491" s="9"/>
      <c r="O1491" s="2">
        <v>0</v>
      </c>
      <c r="P1491" s="9"/>
      <c r="Q1491" s="2">
        <f t="shared" si="52"/>
        <v>1600</v>
      </c>
      <c r="T1491" s="11"/>
    </row>
    <row r="1492" spans="1:21" ht="11.85" customHeight="1" x14ac:dyDescent="0.2">
      <c r="A1492" s="3" t="s">
        <v>781</v>
      </c>
      <c r="C1492" s="2">
        <v>0</v>
      </c>
      <c r="E1492" s="2">
        <v>0</v>
      </c>
      <c r="G1492" s="2">
        <v>0</v>
      </c>
      <c r="I1492" s="2">
        <v>0</v>
      </c>
      <c r="K1492" s="2">
        <v>0</v>
      </c>
      <c r="L1492" s="9"/>
      <c r="M1492" s="2">
        <v>0</v>
      </c>
      <c r="N1492" s="9"/>
      <c r="O1492" s="2">
        <v>0</v>
      </c>
      <c r="P1492" s="9"/>
      <c r="Q1492" s="2">
        <f t="shared" si="52"/>
        <v>0</v>
      </c>
      <c r="T1492" s="11"/>
    </row>
    <row r="1493" spans="1:21" ht="11.85" customHeight="1" x14ac:dyDescent="0.2">
      <c r="A1493" s="3" t="s">
        <v>782</v>
      </c>
      <c r="C1493" s="2">
        <v>0</v>
      </c>
      <c r="E1493" s="2">
        <v>0</v>
      </c>
      <c r="G1493" s="2">
        <v>0</v>
      </c>
      <c r="I1493" s="2">
        <v>0</v>
      </c>
      <c r="K1493" s="2">
        <v>0</v>
      </c>
      <c r="L1493" s="9"/>
      <c r="M1493" s="2">
        <v>0</v>
      </c>
      <c r="N1493" s="9"/>
      <c r="O1493" s="2">
        <v>0</v>
      </c>
      <c r="P1493" s="9"/>
      <c r="Q1493" s="2">
        <f t="shared" si="52"/>
        <v>0</v>
      </c>
      <c r="T1493" s="11"/>
    </row>
    <row r="1494" spans="1:21" ht="11.85" customHeight="1" x14ac:dyDescent="0.2">
      <c r="A1494" s="3" t="s">
        <v>783</v>
      </c>
      <c r="C1494" s="12">
        <v>5600</v>
      </c>
      <c r="E1494" s="12">
        <v>9100</v>
      </c>
      <c r="G1494" s="12">
        <v>6200</v>
      </c>
      <c r="I1494" s="12">
        <v>6000</v>
      </c>
      <c r="K1494" s="12">
        <v>6000</v>
      </c>
      <c r="L1494" s="9"/>
      <c r="M1494" s="12">
        <v>6000</v>
      </c>
      <c r="N1494" s="9"/>
      <c r="O1494" s="12">
        <v>0</v>
      </c>
      <c r="P1494" s="9"/>
      <c r="Q1494" s="12">
        <f t="shared" si="52"/>
        <v>6000</v>
      </c>
      <c r="T1494" s="11"/>
    </row>
    <row r="1495" spans="1:21" ht="11.85" customHeight="1" x14ac:dyDescent="0.2">
      <c r="A1495" s="3" t="s">
        <v>304</v>
      </c>
      <c r="C1495" s="2">
        <f>SUM(C1489:C1494)</f>
        <v>17685.010000000002</v>
      </c>
      <c r="E1495" s="2">
        <f>SUM(E1489:E1494)</f>
        <v>28379.49</v>
      </c>
      <c r="G1495" s="2">
        <f>SUM(G1489:G1494)</f>
        <v>13079.560000000001</v>
      </c>
      <c r="I1495" s="2">
        <f>SUM(I1489:I1494)</f>
        <v>12600</v>
      </c>
      <c r="K1495" s="2">
        <f>SUM(K1489:K1494)</f>
        <v>16100</v>
      </c>
      <c r="L1495" s="9"/>
      <c r="M1495" s="2">
        <f>SUM(M1489:M1494)</f>
        <v>12600</v>
      </c>
      <c r="N1495" s="9"/>
      <c r="O1495" s="2">
        <f>SUM(O1489:O1494)</f>
        <v>0</v>
      </c>
      <c r="P1495" s="9"/>
      <c r="Q1495" s="2">
        <f>SUM(Q1489:Q1494)</f>
        <v>12600</v>
      </c>
      <c r="T1495" s="14"/>
      <c r="U1495" s="9"/>
    </row>
    <row r="1496" spans="1:21" ht="11.85" customHeight="1" x14ac:dyDescent="0.2"/>
    <row r="1497" spans="1:21" ht="11.85" customHeight="1" x14ac:dyDescent="0.2">
      <c r="A1497" s="10" t="s">
        <v>305</v>
      </c>
    </row>
    <row r="1498" spans="1:21" ht="11.85" customHeight="1" x14ac:dyDescent="0.2">
      <c r="A1498" s="3" t="s">
        <v>784</v>
      </c>
      <c r="C1498" s="2">
        <v>179.2</v>
      </c>
      <c r="E1498" s="2">
        <v>1131.49</v>
      </c>
      <c r="G1498" s="2">
        <v>273.20999999999998</v>
      </c>
      <c r="I1498" s="2">
        <v>1000</v>
      </c>
      <c r="K1498" s="2">
        <v>1000</v>
      </c>
      <c r="L1498" s="9"/>
      <c r="M1498" s="2">
        <v>1000</v>
      </c>
      <c r="N1498" s="9"/>
      <c r="O1498" s="2">
        <v>0</v>
      </c>
      <c r="P1498" s="9"/>
      <c r="Q1498" s="2">
        <f t="shared" ref="Q1498:Q1504" si="53">M1498+O1498</f>
        <v>1000</v>
      </c>
      <c r="T1498" s="11"/>
    </row>
    <row r="1499" spans="1:21" ht="11.85" customHeight="1" x14ac:dyDescent="0.2">
      <c r="A1499" s="3" t="s">
        <v>785</v>
      </c>
      <c r="C1499" s="2">
        <v>1340.64</v>
      </c>
      <c r="E1499" s="2">
        <v>4488.54</v>
      </c>
      <c r="G1499" s="2">
        <v>3922.42</v>
      </c>
      <c r="I1499" s="2">
        <v>5000</v>
      </c>
      <c r="K1499" s="2">
        <v>5000</v>
      </c>
      <c r="L1499" s="9"/>
      <c r="M1499" s="2">
        <v>7000</v>
      </c>
      <c r="N1499" s="9"/>
      <c r="O1499" s="2">
        <v>0</v>
      </c>
      <c r="P1499" s="9"/>
      <c r="Q1499" s="2">
        <f t="shared" si="53"/>
        <v>7000</v>
      </c>
      <c r="T1499" s="11"/>
    </row>
    <row r="1500" spans="1:21" ht="11.85" customHeight="1" x14ac:dyDescent="0.2">
      <c r="A1500" s="3" t="s">
        <v>786</v>
      </c>
      <c r="C1500" s="2">
        <v>1300.19</v>
      </c>
      <c r="E1500" s="2">
        <v>545.04999999999995</v>
      </c>
      <c r="G1500" s="2">
        <v>1207.23</v>
      </c>
      <c r="I1500" s="2">
        <v>2500</v>
      </c>
      <c r="K1500" s="2">
        <f>2500-1000</f>
        <v>1500</v>
      </c>
      <c r="L1500" s="9"/>
      <c r="M1500" s="2">
        <v>2500</v>
      </c>
      <c r="N1500" s="9"/>
      <c r="O1500" s="2">
        <v>0</v>
      </c>
      <c r="P1500" s="9"/>
      <c r="Q1500" s="2">
        <f t="shared" si="53"/>
        <v>2500</v>
      </c>
      <c r="T1500" s="11"/>
    </row>
    <row r="1501" spans="1:21" ht="11.85" customHeight="1" x14ac:dyDescent="0.2">
      <c r="A1501" s="3" t="s">
        <v>787</v>
      </c>
      <c r="C1501" s="2">
        <v>2256.54</v>
      </c>
      <c r="E1501" s="2">
        <v>2188.27</v>
      </c>
      <c r="G1501" s="2">
        <v>2291.5700000000002</v>
      </c>
      <c r="I1501" s="2">
        <v>2300</v>
      </c>
      <c r="K1501" s="2">
        <v>2300</v>
      </c>
      <c r="L1501" s="9"/>
      <c r="M1501" s="2">
        <v>2300</v>
      </c>
      <c r="N1501" s="9"/>
      <c r="O1501" s="2">
        <v>0</v>
      </c>
      <c r="P1501" s="9"/>
      <c r="Q1501" s="2">
        <f t="shared" si="53"/>
        <v>2300</v>
      </c>
      <c r="T1501" s="11"/>
    </row>
    <row r="1502" spans="1:21" ht="11.85" customHeight="1" x14ac:dyDescent="0.2">
      <c r="A1502" s="3" t="s">
        <v>788</v>
      </c>
      <c r="C1502" s="2">
        <v>0</v>
      </c>
      <c r="E1502" s="2">
        <v>0</v>
      </c>
      <c r="G1502" s="2">
        <v>0</v>
      </c>
      <c r="I1502" s="2">
        <v>0</v>
      </c>
      <c r="K1502" s="2">
        <v>0</v>
      </c>
      <c r="L1502" s="9"/>
      <c r="M1502" s="2">
        <v>0</v>
      </c>
      <c r="N1502" s="9"/>
      <c r="O1502" s="2">
        <v>0</v>
      </c>
      <c r="P1502" s="9"/>
      <c r="Q1502" s="2">
        <f t="shared" si="53"/>
        <v>0</v>
      </c>
      <c r="T1502" s="11"/>
    </row>
    <row r="1503" spans="1:21" ht="11.85" customHeight="1" x14ac:dyDescent="0.2">
      <c r="A1503" s="3" t="s">
        <v>789</v>
      </c>
      <c r="C1503" s="2">
        <v>0</v>
      </c>
      <c r="E1503" s="2">
        <v>0</v>
      </c>
      <c r="G1503" s="2">
        <v>0</v>
      </c>
      <c r="I1503" s="2">
        <v>0</v>
      </c>
      <c r="K1503" s="2">
        <v>0</v>
      </c>
      <c r="L1503" s="9"/>
      <c r="M1503" s="2">
        <v>0</v>
      </c>
      <c r="N1503" s="9"/>
      <c r="O1503" s="2">
        <v>0</v>
      </c>
      <c r="P1503" s="9"/>
      <c r="Q1503" s="2">
        <f t="shared" si="53"/>
        <v>0</v>
      </c>
      <c r="T1503" s="11"/>
    </row>
    <row r="1504" spans="1:21" ht="11.85" customHeight="1" x14ac:dyDescent="0.2">
      <c r="A1504" s="3" t="s">
        <v>790</v>
      </c>
      <c r="C1504" s="12">
        <v>0</v>
      </c>
      <c r="E1504" s="12">
        <v>0</v>
      </c>
      <c r="G1504" s="12">
        <v>0</v>
      </c>
      <c r="I1504" s="12">
        <v>0</v>
      </c>
      <c r="K1504" s="12">
        <v>0</v>
      </c>
      <c r="L1504" s="9"/>
      <c r="M1504" s="12">
        <v>0</v>
      </c>
      <c r="N1504" s="9"/>
      <c r="O1504" s="12">
        <v>0</v>
      </c>
      <c r="P1504" s="9"/>
      <c r="Q1504" s="12">
        <f t="shared" si="53"/>
        <v>0</v>
      </c>
      <c r="T1504" s="11"/>
    </row>
    <row r="1505" spans="1:20" ht="11.85" customHeight="1" x14ac:dyDescent="0.2">
      <c r="A1505" s="3" t="s">
        <v>328</v>
      </c>
      <c r="C1505" s="2">
        <f>SUM(C1498:C1504)</f>
        <v>5076.57</v>
      </c>
      <c r="E1505" s="2">
        <f>SUM(E1498:E1504)</f>
        <v>8353.35</v>
      </c>
      <c r="G1505" s="2">
        <f>SUM(G1498:G1504)</f>
        <v>7694.43</v>
      </c>
      <c r="I1505" s="2">
        <f>SUM(I1498:I1504)</f>
        <v>10800</v>
      </c>
      <c r="K1505" s="2">
        <f>SUM(K1498:K1504)</f>
        <v>9800</v>
      </c>
      <c r="L1505" s="9"/>
      <c r="M1505" s="2">
        <f>SUM(M1498:M1504)</f>
        <v>12800</v>
      </c>
      <c r="N1505" s="9"/>
      <c r="O1505" s="2">
        <f>SUM(O1498:O1504)</f>
        <v>0</v>
      </c>
      <c r="P1505" s="9"/>
      <c r="Q1505" s="2">
        <f>SUM(Q1498:Q1504)</f>
        <v>12800</v>
      </c>
      <c r="T1505" s="14"/>
    </row>
    <row r="1506" spans="1:20" ht="11.85" customHeight="1" x14ac:dyDescent="0.2">
      <c r="L1506" s="9"/>
      <c r="N1506" s="9"/>
      <c r="P1506" s="9"/>
    </row>
    <row r="1507" spans="1:20" ht="11.85" customHeight="1" x14ac:dyDescent="0.2">
      <c r="A1507" s="3" t="s">
        <v>791</v>
      </c>
      <c r="C1507" s="2">
        <v>0</v>
      </c>
      <c r="E1507" s="2">
        <v>107506.9</v>
      </c>
      <c r="G1507" s="2">
        <v>0</v>
      </c>
      <c r="I1507" s="2">
        <v>0</v>
      </c>
      <c r="K1507" s="2">
        <v>0</v>
      </c>
      <c r="L1507" s="9"/>
      <c r="M1507" s="2">
        <v>0</v>
      </c>
      <c r="N1507" s="9"/>
      <c r="O1507" s="2">
        <v>0</v>
      </c>
      <c r="P1507" s="9"/>
      <c r="Q1507" s="2">
        <f>M1507+O1507</f>
        <v>0</v>
      </c>
      <c r="T1507" s="11"/>
    </row>
    <row r="1508" spans="1:20" ht="11.85" customHeight="1" x14ac:dyDescent="0.2">
      <c r="A1508" s="3" t="s">
        <v>792</v>
      </c>
      <c r="C1508" s="12">
        <v>0</v>
      </c>
      <c r="E1508" s="12">
        <v>6200</v>
      </c>
      <c r="G1508" s="12">
        <v>0</v>
      </c>
      <c r="I1508" s="12">
        <v>0</v>
      </c>
      <c r="K1508" s="12">
        <v>0</v>
      </c>
      <c r="L1508" s="9"/>
      <c r="M1508" s="12">
        <v>0</v>
      </c>
      <c r="N1508" s="9"/>
      <c r="O1508" s="12">
        <v>0</v>
      </c>
      <c r="P1508" s="9"/>
      <c r="Q1508" s="12">
        <v>0</v>
      </c>
      <c r="T1508" s="11"/>
    </row>
    <row r="1509" spans="1:20" ht="11.85" customHeight="1" x14ac:dyDescent="0.2">
      <c r="A1509" s="3" t="s">
        <v>331</v>
      </c>
      <c r="C1509" s="2">
        <f>SUM(C1507:C1508)</f>
        <v>0</v>
      </c>
      <c r="E1509" s="2">
        <f>SUM(E1507:E1508)</f>
        <v>113706.9</v>
      </c>
      <c r="G1509" s="2">
        <f>SUM(G1507:G1508)</f>
        <v>0</v>
      </c>
      <c r="I1509" s="2">
        <f>SUM(I1507:I1508)</f>
        <v>0</v>
      </c>
      <c r="K1509" s="2">
        <f>SUM(K1507:K1508)</f>
        <v>0</v>
      </c>
      <c r="L1509" s="9"/>
      <c r="M1509" s="2">
        <f>SUM(M1507:M1508)</f>
        <v>0</v>
      </c>
      <c r="N1509" s="9"/>
      <c r="O1509" s="2">
        <f>SUM(O1507:O1508)</f>
        <v>0</v>
      </c>
      <c r="P1509" s="9"/>
      <c r="Q1509" s="2">
        <f>SUM(Q1507:Q1508)</f>
        <v>0</v>
      </c>
    </row>
    <row r="1510" spans="1:20" ht="11.85" customHeight="1" x14ac:dyDescent="0.2">
      <c r="L1510" s="9"/>
      <c r="N1510" s="9"/>
      <c r="P1510" s="9"/>
    </row>
    <row r="1511" spans="1:20" ht="11.85" customHeight="1" x14ac:dyDescent="0.2">
      <c r="A1511" s="3" t="s">
        <v>793</v>
      </c>
      <c r="C1511" s="2">
        <f>C1495+C1505+C1509+C1486</f>
        <v>31047.370000000003</v>
      </c>
      <c r="E1511" s="2">
        <f>E1495+E1505+E1509+E1486</f>
        <v>157053.71</v>
      </c>
      <c r="G1511" s="2">
        <f>G1495+G1505+G1509+G1486</f>
        <v>20773.990000000002</v>
      </c>
      <c r="I1511" s="2">
        <f>I1495+I1505+I1509+I1486</f>
        <v>23400</v>
      </c>
      <c r="K1511" s="2">
        <f>K1495+K1505+K1509+K1486</f>
        <v>25900</v>
      </c>
      <c r="L1511" s="9"/>
      <c r="M1511" s="2">
        <f>M1495+M1505+M1509+M1486</f>
        <v>25400</v>
      </c>
      <c r="N1511" s="9"/>
      <c r="O1511" s="2">
        <f>O1495+O1505+O1509+O1486</f>
        <v>0</v>
      </c>
      <c r="P1511" s="9"/>
      <c r="Q1511" s="2">
        <f>Q1495+Q1505+Q1509+Q1486</f>
        <v>25400</v>
      </c>
      <c r="T1511" s="11"/>
    </row>
    <row r="1512" spans="1:20" ht="11.85" customHeight="1" x14ac:dyDescent="0.2"/>
    <row r="1513" spans="1:20" ht="11.85" customHeight="1" x14ac:dyDescent="0.2"/>
    <row r="1514" spans="1:20" ht="11.85" customHeight="1" x14ac:dyDescent="0.2"/>
    <row r="1515" spans="1:20" ht="11.85" customHeight="1" x14ac:dyDescent="0.2"/>
    <row r="1516" spans="1:20" ht="11.85" customHeight="1" x14ac:dyDescent="0.2"/>
    <row r="1517" spans="1:20" ht="11.85" customHeight="1" x14ac:dyDescent="0.2"/>
    <row r="1518" spans="1:20" ht="11.85" customHeight="1" x14ac:dyDescent="0.2"/>
    <row r="1519" spans="1:20" ht="11.85" customHeight="1" x14ac:dyDescent="0.2"/>
    <row r="1520" spans="1:20" ht="11.85" customHeight="1" x14ac:dyDescent="0.2"/>
    <row r="1521" ht="11.85" customHeight="1" x14ac:dyDescent="0.2"/>
    <row r="1522" ht="11.85" customHeight="1" x14ac:dyDescent="0.2"/>
    <row r="1523" ht="11.85" customHeight="1" x14ac:dyDescent="0.2"/>
    <row r="1524" ht="11.85" customHeight="1" x14ac:dyDescent="0.2"/>
    <row r="1525" ht="11.85" customHeight="1" x14ac:dyDescent="0.2"/>
    <row r="1526" ht="11.85" customHeight="1" x14ac:dyDescent="0.2"/>
    <row r="1527" ht="11.85" customHeight="1" x14ac:dyDescent="0.2"/>
    <row r="1528" ht="11.85" customHeight="1" x14ac:dyDescent="0.2"/>
    <row r="1529" ht="11.85" customHeight="1" x14ac:dyDescent="0.2"/>
    <row r="1530" ht="11.85" customHeight="1" x14ac:dyDescent="0.2"/>
    <row r="1531" ht="11.85" customHeight="1" x14ac:dyDescent="0.2"/>
    <row r="1532" ht="11.85" customHeight="1" x14ac:dyDescent="0.2"/>
    <row r="1533" ht="11.85" customHeight="1" x14ac:dyDescent="0.2"/>
    <row r="1534" ht="11.85" customHeight="1" x14ac:dyDescent="0.2"/>
    <row r="1535" ht="11.85" customHeight="1" x14ac:dyDescent="0.2"/>
    <row r="1536" ht="11.85" customHeight="1" x14ac:dyDescent="0.2"/>
    <row r="1537" spans="1:20" ht="11.85" customHeight="1" x14ac:dyDescent="0.2"/>
    <row r="1538" spans="1:20" ht="11.85" customHeight="1" x14ac:dyDescent="0.2"/>
    <row r="1539" spans="1:20" ht="11.85" customHeight="1" x14ac:dyDescent="0.2"/>
    <row r="1540" spans="1:20" ht="11.85" customHeight="1" x14ac:dyDescent="0.2"/>
    <row r="1541" spans="1:20" ht="11.85" customHeight="1" x14ac:dyDescent="0.2"/>
    <row r="1542" spans="1:20" ht="11.85" customHeight="1" x14ac:dyDescent="0.2">
      <c r="A1542" s="1"/>
      <c r="B1542" s="1"/>
      <c r="E1542" s="2" t="str">
        <f>$E$1</f>
        <v>CITY OF BRADY</v>
      </c>
    </row>
    <row r="1543" spans="1:20" ht="11.85" customHeight="1" x14ac:dyDescent="0.2">
      <c r="E1543" s="2" t="str">
        <f>$E$2</f>
        <v>BUDGET REPORT</v>
      </c>
    </row>
    <row r="1544" spans="1:20" ht="11.85" customHeight="1" x14ac:dyDescent="0.2">
      <c r="E1544" s="2" t="str">
        <f>$E$3</f>
        <v>FISCAL YEAR 2024 - 2025</v>
      </c>
    </row>
    <row r="1545" spans="1:20" ht="11.85" customHeight="1" x14ac:dyDescent="0.2">
      <c r="A1545" s="3" t="s">
        <v>3</v>
      </c>
    </row>
    <row r="1546" spans="1:20" ht="11.85" customHeight="1" x14ac:dyDescent="0.2">
      <c r="A1546" s="3" t="s">
        <v>794</v>
      </c>
    </row>
    <row r="1547" spans="1:20" ht="11.85" customHeight="1" x14ac:dyDescent="0.2">
      <c r="I1547" s="53" t="str">
        <f>$I$6</f>
        <v>(----- 2023-2024------)</v>
      </c>
      <c r="J1547" s="53"/>
      <c r="K1547" s="53"/>
      <c r="L1547" s="6"/>
      <c r="M1547" s="54" t="str">
        <f>$M$6</f>
        <v>2024-2025</v>
      </c>
      <c r="N1547" s="54"/>
      <c r="O1547" s="54"/>
      <c r="P1547" s="54"/>
      <c r="Q1547" s="54"/>
    </row>
    <row r="1548" spans="1:20" ht="11.85" customHeight="1" x14ac:dyDescent="0.2">
      <c r="C1548" s="5" t="str">
        <f>$C$7</f>
        <v>2020-2021</v>
      </c>
      <c r="D1548" s="5"/>
      <c r="E1548" s="5" t="str">
        <f>$E$7</f>
        <v>2021-2022</v>
      </c>
      <c r="F1548" s="5"/>
      <c r="G1548" s="5" t="str">
        <f>$G$7</f>
        <v>2022-2023</v>
      </c>
      <c r="H1548" s="5"/>
      <c r="I1548" s="5" t="s">
        <v>9</v>
      </c>
      <c r="J1548" s="5"/>
      <c r="K1548" s="5" t="str">
        <f>+$K$7</f>
        <v>PROJECTED</v>
      </c>
      <c r="L1548" s="6"/>
      <c r="M1548" s="5">
        <f>$M$7</f>
        <v>0</v>
      </c>
      <c r="N1548" s="6"/>
      <c r="O1548" s="5" t="str">
        <f>$O$7</f>
        <v>2024-2025</v>
      </c>
      <c r="P1548" s="6"/>
      <c r="Q1548" s="5" t="str">
        <f>$Q$7</f>
        <v>APPROVED</v>
      </c>
    </row>
    <row r="1549" spans="1:20" ht="11.85" customHeight="1" x14ac:dyDescent="0.2">
      <c r="A1549" s="7" t="s">
        <v>273</v>
      </c>
      <c r="C1549" s="8" t="s">
        <v>12</v>
      </c>
      <c r="D1549" s="5"/>
      <c r="E1549" s="8" t="s">
        <v>12</v>
      </c>
      <c r="F1549" s="5"/>
      <c r="G1549" s="8" t="s">
        <v>12</v>
      </c>
      <c r="H1549" s="5"/>
      <c r="I1549" s="8" t="s">
        <v>13</v>
      </c>
      <c r="J1549" s="5"/>
      <c r="K1549" s="8" t="s">
        <v>13</v>
      </c>
      <c r="L1549" s="6"/>
      <c r="M1549" s="8" t="str">
        <f>$M$8</f>
        <v>BASE</v>
      </c>
      <c r="N1549" s="6"/>
      <c r="O1549" s="8" t="str">
        <f>$O$8</f>
        <v>SUPPLEMENTAL</v>
      </c>
      <c r="P1549" s="6"/>
      <c r="Q1549" s="8" t="str">
        <f>$Q$8</f>
        <v>BUDGET</v>
      </c>
    </row>
    <row r="1550" spans="1:20" ht="11.85" customHeight="1" x14ac:dyDescent="0.2"/>
    <row r="1551" spans="1:20" ht="11.85" customHeight="1" x14ac:dyDescent="0.2">
      <c r="A1551" s="10" t="s">
        <v>274</v>
      </c>
    </row>
    <row r="1552" spans="1:20" ht="11.85" customHeight="1" x14ac:dyDescent="0.2">
      <c r="A1552" s="3" t="s">
        <v>795</v>
      </c>
      <c r="C1552" s="2">
        <v>45516</v>
      </c>
      <c r="E1552" s="2">
        <v>28413.66</v>
      </c>
      <c r="G1552" s="2">
        <v>33333.61</v>
      </c>
      <c r="I1552" s="2">
        <v>28478</v>
      </c>
      <c r="K1552" s="2">
        <v>28478</v>
      </c>
      <c r="L1552" s="9"/>
      <c r="M1552" s="2">
        <v>29047</v>
      </c>
      <c r="N1552" s="9"/>
      <c r="O1552" s="2">
        <v>0</v>
      </c>
      <c r="P1552" s="9"/>
      <c r="Q1552" s="2">
        <f t="shared" ref="Q1552:Q1560" si="54">M1552+O1552</f>
        <v>29047</v>
      </c>
      <c r="T1552" s="11"/>
    </row>
    <row r="1553" spans="1:21" ht="11.85" customHeight="1" x14ac:dyDescent="0.2">
      <c r="A1553" s="3" t="s">
        <v>796</v>
      </c>
      <c r="C1553" s="2">
        <v>0</v>
      </c>
      <c r="E1553" s="2">
        <v>0</v>
      </c>
      <c r="G1553" s="2">
        <v>0</v>
      </c>
      <c r="I1553" s="2">
        <v>0</v>
      </c>
      <c r="K1553" s="2">
        <v>0</v>
      </c>
      <c r="L1553" s="9"/>
      <c r="M1553" s="2">
        <v>0</v>
      </c>
      <c r="N1553" s="9"/>
      <c r="O1553" s="2">
        <v>0</v>
      </c>
      <c r="P1553" s="9"/>
      <c r="Q1553" s="2">
        <f t="shared" si="54"/>
        <v>0</v>
      </c>
      <c r="T1553" s="11"/>
    </row>
    <row r="1554" spans="1:21" ht="11.85" customHeight="1" x14ac:dyDescent="0.2">
      <c r="A1554" s="3" t="s">
        <v>797</v>
      </c>
      <c r="C1554" s="2">
        <v>1500</v>
      </c>
      <c r="E1554" s="2">
        <v>1500</v>
      </c>
      <c r="G1554" s="2">
        <v>1500</v>
      </c>
      <c r="I1554" s="2">
        <v>1500</v>
      </c>
      <c r="K1554" s="2">
        <v>1500</v>
      </c>
      <c r="L1554" s="9"/>
      <c r="M1554" s="2">
        <v>1500</v>
      </c>
      <c r="N1554" s="9"/>
      <c r="O1554" s="2">
        <v>0</v>
      </c>
      <c r="P1554" s="9"/>
      <c r="Q1554" s="2">
        <f t="shared" si="54"/>
        <v>1500</v>
      </c>
      <c r="T1554" s="11"/>
    </row>
    <row r="1555" spans="1:21" ht="11.85" customHeight="1" x14ac:dyDescent="0.2">
      <c r="A1555" s="3" t="s">
        <v>798</v>
      </c>
      <c r="C1555" s="2">
        <v>0</v>
      </c>
      <c r="E1555" s="2">
        <v>0</v>
      </c>
      <c r="G1555" s="2">
        <v>0</v>
      </c>
      <c r="I1555" s="2">
        <v>0</v>
      </c>
      <c r="K1555" s="2">
        <v>0</v>
      </c>
      <c r="L1555" s="9"/>
      <c r="M1555" s="2">
        <v>0</v>
      </c>
      <c r="N1555" s="9"/>
      <c r="O1555" s="2">
        <v>0</v>
      </c>
      <c r="P1555" s="9"/>
      <c r="Q1555" s="2">
        <f t="shared" si="54"/>
        <v>0</v>
      </c>
      <c r="T1555" s="11"/>
    </row>
    <row r="1556" spans="1:21" ht="11.85" customHeight="1" x14ac:dyDescent="0.2">
      <c r="A1556" s="3" t="s">
        <v>799</v>
      </c>
      <c r="C1556" s="2">
        <v>11526.95</v>
      </c>
      <c r="E1556" s="2">
        <v>5626.32</v>
      </c>
      <c r="G1556" s="2">
        <v>5645.09</v>
      </c>
      <c r="I1556" s="2">
        <v>3782</v>
      </c>
      <c r="K1556" s="2">
        <v>3782</v>
      </c>
      <c r="L1556" s="9"/>
      <c r="M1556" s="2">
        <v>3347</v>
      </c>
      <c r="N1556" s="9"/>
      <c r="O1556" s="2">
        <v>0</v>
      </c>
      <c r="P1556" s="9"/>
      <c r="Q1556" s="2">
        <f t="shared" si="54"/>
        <v>3347</v>
      </c>
      <c r="T1556" s="11"/>
    </row>
    <row r="1557" spans="1:21" ht="11.85" customHeight="1" x14ac:dyDescent="0.2">
      <c r="A1557" s="3" t="s">
        <v>800</v>
      </c>
      <c r="C1557" s="2">
        <v>3749.37</v>
      </c>
      <c r="E1557" s="2">
        <v>1982.17</v>
      </c>
      <c r="G1557" s="2">
        <v>2093.83</v>
      </c>
      <c r="I1557" s="2">
        <v>1402</v>
      </c>
      <c r="K1557" s="2">
        <v>1402</v>
      </c>
      <c r="L1557" s="9"/>
      <c r="M1557" s="2">
        <v>1423</v>
      </c>
      <c r="N1557" s="9"/>
      <c r="O1557" s="2">
        <v>0</v>
      </c>
      <c r="P1557" s="9"/>
      <c r="Q1557" s="2">
        <f t="shared" si="54"/>
        <v>1423</v>
      </c>
      <c r="T1557" s="11"/>
    </row>
    <row r="1558" spans="1:21" ht="11.85" customHeight="1" x14ac:dyDescent="0.2">
      <c r="A1558" s="3" t="s">
        <v>801</v>
      </c>
      <c r="C1558" s="2">
        <v>119.99</v>
      </c>
      <c r="E1558" s="2">
        <v>134.75</v>
      </c>
      <c r="G1558" s="2">
        <v>161.16999999999999</v>
      </c>
      <c r="I1558" s="2">
        <v>185</v>
      </c>
      <c r="K1558" s="2">
        <v>185</v>
      </c>
      <c r="L1558" s="9"/>
      <c r="M1558" s="2">
        <v>119</v>
      </c>
      <c r="N1558" s="9"/>
      <c r="O1558" s="2">
        <v>0</v>
      </c>
      <c r="P1558" s="9"/>
      <c r="Q1558" s="2">
        <f t="shared" si="54"/>
        <v>119</v>
      </c>
      <c r="T1558" s="11"/>
    </row>
    <row r="1559" spans="1:21" ht="11.85" customHeight="1" x14ac:dyDescent="0.2">
      <c r="A1559" s="3" t="s">
        <v>802</v>
      </c>
      <c r="C1559" s="2">
        <v>503.99</v>
      </c>
      <c r="E1559" s="2">
        <v>18</v>
      </c>
      <c r="G1559" s="2">
        <v>18</v>
      </c>
      <c r="I1559" s="2">
        <v>111</v>
      </c>
      <c r="K1559" s="2">
        <v>111</v>
      </c>
      <c r="L1559" s="9"/>
      <c r="M1559" s="2">
        <v>120</v>
      </c>
      <c r="N1559" s="9"/>
      <c r="O1559" s="2">
        <v>0</v>
      </c>
      <c r="P1559" s="9"/>
      <c r="Q1559" s="2">
        <f t="shared" si="54"/>
        <v>120</v>
      </c>
      <c r="T1559" s="11"/>
    </row>
    <row r="1560" spans="1:21" ht="11.85" customHeight="1" x14ac:dyDescent="0.2">
      <c r="A1560" s="3" t="s">
        <v>803</v>
      </c>
      <c r="C1560" s="12">
        <v>3510.29</v>
      </c>
      <c r="E1560" s="12">
        <v>2457.1</v>
      </c>
      <c r="G1560" s="12">
        <v>2687.67</v>
      </c>
      <c r="I1560" s="12">
        <v>2221</v>
      </c>
      <c r="K1560" s="12">
        <v>2221</v>
      </c>
      <c r="L1560" s="9"/>
      <c r="M1560" s="12">
        <v>2266</v>
      </c>
      <c r="N1560" s="9"/>
      <c r="O1560" s="12">
        <v>0</v>
      </c>
      <c r="P1560" s="9"/>
      <c r="Q1560" s="12">
        <f t="shared" si="54"/>
        <v>2266</v>
      </c>
      <c r="T1560" s="11"/>
    </row>
    <row r="1561" spans="1:21" ht="11.85" customHeight="1" x14ac:dyDescent="0.2">
      <c r="A1561" s="3" t="s">
        <v>285</v>
      </c>
      <c r="C1561" s="2">
        <f>SUM(C1552:C1560)</f>
        <v>66426.59</v>
      </c>
      <c r="E1561" s="2">
        <f>SUM(E1552:E1560)</f>
        <v>40131.999999999993</v>
      </c>
      <c r="G1561" s="2">
        <f>SUM(G1552:G1560)</f>
        <v>45439.369999999995</v>
      </c>
      <c r="I1561" s="2">
        <f>SUM(I1552:I1560)</f>
        <v>37679</v>
      </c>
      <c r="K1561" s="2">
        <f>SUM(K1552:K1560)</f>
        <v>37679</v>
      </c>
      <c r="L1561" s="9"/>
      <c r="M1561" s="2">
        <f>SUM(M1552:M1560)</f>
        <v>37822</v>
      </c>
      <c r="N1561" s="9"/>
      <c r="O1561" s="2">
        <f>SUM(O1552:O1560)</f>
        <v>0</v>
      </c>
      <c r="P1561" s="9"/>
      <c r="Q1561" s="2">
        <f>SUM(Q1552:Q1560)</f>
        <v>37822</v>
      </c>
      <c r="R1561" s="9"/>
      <c r="T1561" s="14"/>
      <c r="U1561" s="9"/>
    </row>
    <row r="1562" spans="1:21" ht="11.85" customHeight="1" x14ac:dyDescent="0.2">
      <c r="L1562" s="9"/>
      <c r="N1562" s="9"/>
      <c r="P1562" s="9"/>
    </row>
    <row r="1563" spans="1:21" ht="11.85" customHeight="1" x14ac:dyDescent="0.2">
      <c r="A1563" s="10" t="s">
        <v>286</v>
      </c>
      <c r="L1563" s="9"/>
      <c r="N1563" s="9"/>
      <c r="P1563" s="9"/>
    </row>
    <row r="1564" spans="1:21" ht="11.85" customHeight="1" x14ac:dyDescent="0.2">
      <c r="A1564" s="3" t="s">
        <v>804</v>
      </c>
      <c r="C1564" s="2">
        <v>31437.52</v>
      </c>
      <c r="E1564" s="2">
        <v>52753.66</v>
      </c>
      <c r="G1564" s="2">
        <v>67253.41</v>
      </c>
      <c r="I1564" s="2">
        <v>55000</v>
      </c>
      <c r="K1564" s="2">
        <f>55000+15000</f>
        <v>70000</v>
      </c>
      <c r="L1564" s="9"/>
      <c r="M1564" s="2">
        <v>70000</v>
      </c>
      <c r="N1564" s="9"/>
      <c r="O1564" s="2">
        <v>0</v>
      </c>
      <c r="P1564" s="9"/>
      <c r="Q1564" s="2">
        <f t="shared" ref="Q1564:Q1577" si="55">M1564+O1564</f>
        <v>70000</v>
      </c>
      <c r="T1564" s="11"/>
    </row>
    <row r="1565" spans="1:21" ht="11.85" customHeight="1" x14ac:dyDescent="0.2">
      <c r="A1565" s="3" t="s">
        <v>805</v>
      </c>
      <c r="C1565" s="2">
        <v>130</v>
      </c>
      <c r="E1565" s="2">
        <v>205</v>
      </c>
      <c r="G1565" s="2">
        <v>130</v>
      </c>
      <c r="I1565" s="2">
        <v>200</v>
      </c>
      <c r="K1565" s="2">
        <v>200</v>
      </c>
      <c r="L1565" s="9"/>
      <c r="M1565" s="2">
        <v>200</v>
      </c>
      <c r="N1565" s="9"/>
      <c r="O1565" s="2">
        <v>0</v>
      </c>
      <c r="P1565" s="9"/>
      <c r="Q1565" s="2">
        <f t="shared" si="55"/>
        <v>200</v>
      </c>
      <c r="T1565" s="11"/>
    </row>
    <row r="1566" spans="1:21" ht="11.85" customHeight="1" x14ac:dyDescent="0.2">
      <c r="A1566" s="3" t="s">
        <v>806</v>
      </c>
      <c r="C1566" s="2">
        <v>2688.28</v>
      </c>
      <c r="E1566" s="2">
        <v>2826.85</v>
      </c>
      <c r="G1566" s="2">
        <v>3140.83</v>
      </c>
      <c r="I1566" s="2">
        <v>3000</v>
      </c>
      <c r="K1566" s="2">
        <v>3000</v>
      </c>
      <c r="L1566" s="9"/>
      <c r="M1566" s="2">
        <v>3000</v>
      </c>
      <c r="N1566" s="9"/>
      <c r="O1566" s="2">
        <v>0</v>
      </c>
      <c r="P1566" s="9"/>
      <c r="Q1566" s="2">
        <f t="shared" si="55"/>
        <v>3000</v>
      </c>
      <c r="T1566" s="11"/>
    </row>
    <row r="1567" spans="1:21" ht="11.85" customHeight="1" x14ac:dyDescent="0.2">
      <c r="A1567" s="3" t="s">
        <v>807</v>
      </c>
      <c r="C1567" s="2">
        <v>4869.68</v>
      </c>
      <c r="E1567" s="2">
        <v>6858.19</v>
      </c>
      <c r="G1567" s="2">
        <v>12698.76</v>
      </c>
      <c r="I1567" s="2">
        <v>10000</v>
      </c>
      <c r="K1567" s="2">
        <v>10000</v>
      </c>
      <c r="L1567" s="9"/>
      <c r="M1567" s="2">
        <v>10000</v>
      </c>
      <c r="N1567" s="9"/>
      <c r="O1567" s="2">
        <v>0</v>
      </c>
      <c r="P1567" s="9"/>
      <c r="Q1567" s="2">
        <f t="shared" si="55"/>
        <v>10000</v>
      </c>
      <c r="T1567" s="11"/>
    </row>
    <row r="1568" spans="1:21" ht="11.85" customHeight="1" x14ac:dyDescent="0.2">
      <c r="A1568" s="3" t="s">
        <v>808</v>
      </c>
      <c r="C1568" s="2">
        <v>711.99</v>
      </c>
      <c r="E1568" s="2">
        <v>889.58</v>
      </c>
      <c r="G1568" s="2">
        <v>848.82</v>
      </c>
      <c r="I1568" s="2">
        <v>1200</v>
      </c>
      <c r="K1568" s="2">
        <v>1200</v>
      </c>
      <c r="L1568" s="9"/>
      <c r="M1568" s="2">
        <v>1200</v>
      </c>
      <c r="N1568" s="9"/>
      <c r="O1568" s="2">
        <v>0</v>
      </c>
      <c r="P1568" s="9"/>
      <c r="Q1568" s="2">
        <f t="shared" si="55"/>
        <v>1200</v>
      </c>
      <c r="T1568" s="11"/>
    </row>
    <row r="1569" spans="1:20" ht="11.85" hidden="1" customHeight="1" x14ac:dyDescent="0.2">
      <c r="A1569" s="3" t="s">
        <v>809</v>
      </c>
      <c r="C1569" s="2">
        <v>0</v>
      </c>
      <c r="E1569" s="2">
        <v>0</v>
      </c>
      <c r="G1569" s="2">
        <v>0</v>
      </c>
      <c r="I1569" s="2">
        <v>0</v>
      </c>
      <c r="K1569" s="2">
        <v>0</v>
      </c>
      <c r="L1569" s="9"/>
      <c r="M1569" s="2">
        <v>0</v>
      </c>
      <c r="N1569" s="9"/>
      <c r="O1569" s="2">
        <v>0</v>
      </c>
      <c r="P1569" s="9"/>
      <c r="Q1569" s="2">
        <f t="shared" si="55"/>
        <v>0</v>
      </c>
      <c r="T1569" s="11"/>
    </row>
    <row r="1570" spans="1:20" ht="11.85" customHeight="1" x14ac:dyDescent="0.2">
      <c r="A1570" s="3" t="s">
        <v>810</v>
      </c>
      <c r="C1570" s="2">
        <v>28.23</v>
      </c>
      <c r="E1570" s="2">
        <v>31.02</v>
      </c>
      <c r="G1570" s="2">
        <v>39.32</v>
      </c>
      <c r="I1570" s="2">
        <v>50</v>
      </c>
      <c r="K1570" s="2">
        <v>50</v>
      </c>
      <c r="L1570" s="9"/>
      <c r="M1570" s="2">
        <v>50</v>
      </c>
      <c r="N1570" s="9"/>
      <c r="O1570" s="2">
        <v>0</v>
      </c>
      <c r="P1570" s="9"/>
      <c r="Q1570" s="2">
        <f t="shared" si="55"/>
        <v>50</v>
      </c>
      <c r="T1570" s="11"/>
    </row>
    <row r="1571" spans="1:20" ht="11.85" hidden="1" customHeight="1" x14ac:dyDescent="0.2">
      <c r="A1571" s="3" t="s">
        <v>811</v>
      </c>
      <c r="C1571" s="2">
        <v>0</v>
      </c>
      <c r="E1571" s="2">
        <v>0</v>
      </c>
      <c r="G1571" s="2">
        <v>0</v>
      </c>
      <c r="I1571" s="2">
        <v>0</v>
      </c>
      <c r="K1571" s="2">
        <v>0</v>
      </c>
      <c r="L1571" s="9"/>
      <c r="M1571" s="2">
        <v>0</v>
      </c>
      <c r="N1571" s="9"/>
      <c r="O1571" s="2">
        <v>0</v>
      </c>
      <c r="P1571" s="9"/>
      <c r="Q1571" s="2">
        <f t="shared" si="55"/>
        <v>0</v>
      </c>
      <c r="T1571" s="11"/>
    </row>
    <row r="1572" spans="1:20" ht="11.85" customHeight="1" x14ac:dyDescent="0.2">
      <c r="A1572" s="3" t="s">
        <v>812</v>
      </c>
      <c r="C1572" s="2">
        <v>7219</v>
      </c>
      <c r="E1572" s="2">
        <v>5641.36</v>
      </c>
      <c r="G1572" s="2">
        <v>14942.13</v>
      </c>
      <c r="I1572" s="2">
        <v>20000</v>
      </c>
      <c r="K1572" s="2">
        <v>20000</v>
      </c>
      <c r="L1572" s="9"/>
      <c r="M1572" s="2">
        <v>20000</v>
      </c>
      <c r="N1572" s="9"/>
      <c r="O1572" s="2">
        <v>0</v>
      </c>
      <c r="P1572" s="9"/>
      <c r="Q1572" s="2">
        <f t="shared" si="55"/>
        <v>20000</v>
      </c>
      <c r="T1572" s="11"/>
    </row>
    <row r="1573" spans="1:20" ht="11.85" hidden="1" customHeight="1" x14ac:dyDescent="0.2">
      <c r="A1573" s="3" t="s">
        <v>813</v>
      </c>
      <c r="C1573" s="2">
        <v>0</v>
      </c>
      <c r="E1573" s="2">
        <v>0</v>
      </c>
      <c r="G1573" s="2">
        <v>0</v>
      </c>
      <c r="I1573" s="2">
        <v>0</v>
      </c>
      <c r="K1573" s="2">
        <v>0</v>
      </c>
      <c r="L1573" s="9"/>
      <c r="M1573" s="2">
        <v>0</v>
      </c>
      <c r="N1573" s="9"/>
      <c r="O1573" s="2">
        <v>0</v>
      </c>
      <c r="P1573" s="9"/>
      <c r="Q1573" s="2">
        <f t="shared" si="55"/>
        <v>0</v>
      </c>
      <c r="T1573" s="11"/>
    </row>
    <row r="1574" spans="1:20" ht="11.85" hidden="1" customHeight="1" x14ac:dyDescent="0.2">
      <c r="A1574" s="3" t="s">
        <v>814</v>
      </c>
      <c r="C1574" s="2">
        <v>0</v>
      </c>
      <c r="E1574" s="2">
        <v>0</v>
      </c>
      <c r="G1574" s="2">
        <v>0</v>
      </c>
      <c r="I1574" s="2">
        <v>0</v>
      </c>
      <c r="K1574" s="2">
        <v>0</v>
      </c>
      <c r="L1574" s="9"/>
      <c r="M1574" s="2">
        <v>0</v>
      </c>
      <c r="N1574" s="9"/>
      <c r="O1574" s="2">
        <v>0</v>
      </c>
      <c r="P1574" s="9"/>
      <c r="Q1574" s="2">
        <f t="shared" si="55"/>
        <v>0</v>
      </c>
      <c r="T1574" s="11"/>
    </row>
    <row r="1575" spans="1:20" ht="11.85" hidden="1" customHeight="1" x14ac:dyDescent="0.2">
      <c r="A1575" s="3" t="s">
        <v>815</v>
      </c>
      <c r="C1575" s="2">
        <v>0</v>
      </c>
      <c r="E1575" s="2">
        <v>0</v>
      </c>
      <c r="G1575" s="2">
        <v>0</v>
      </c>
      <c r="I1575" s="2">
        <v>0</v>
      </c>
      <c r="K1575" s="2">
        <v>0</v>
      </c>
      <c r="L1575" s="9"/>
      <c r="M1575" s="2">
        <v>0</v>
      </c>
      <c r="N1575" s="9"/>
      <c r="O1575" s="2">
        <v>0</v>
      </c>
      <c r="P1575" s="9"/>
      <c r="Q1575" s="2">
        <f t="shared" si="55"/>
        <v>0</v>
      </c>
      <c r="T1575" s="11"/>
    </row>
    <row r="1576" spans="1:20" ht="11.85" customHeight="1" x14ac:dyDescent="0.2">
      <c r="A1576" s="3" t="s">
        <v>816</v>
      </c>
      <c r="C1576" s="2">
        <v>6385.49</v>
      </c>
      <c r="E1576" s="2">
        <v>6929.78</v>
      </c>
      <c r="G1576" s="2">
        <v>7204.11</v>
      </c>
      <c r="I1576" s="2">
        <v>7350</v>
      </c>
      <c r="K1576" s="2">
        <f>7350+450</f>
        <v>7800</v>
      </c>
      <c r="L1576" s="9"/>
      <c r="M1576" s="2">
        <v>7800</v>
      </c>
      <c r="N1576" s="9"/>
      <c r="O1576" s="2">
        <v>0</v>
      </c>
      <c r="P1576" s="9"/>
      <c r="Q1576" s="2">
        <f t="shared" si="55"/>
        <v>7800</v>
      </c>
      <c r="T1576" s="11"/>
    </row>
    <row r="1577" spans="1:20" ht="11.85" customHeight="1" x14ac:dyDescent="0.2">
      <c r="A1577" s="3" t="s">
        <v>817</v>
      </c>
      <c r="C1577" s="12">
        <v>0</v>
      </c>
      <c r="E1577" s="12">
        <v>0</v>
      </c>
      <c r="G1577" s="12">
        <v>160</v>
      </c>
      <c r="I1577" s="12">
        <v>300</v>
      </c>
      <c r="K1577" s="12">
        <v>300</v>
      </c>
      <c r="L1577" s="9"/>
      <c r="M1577" s="12">
        <v>300</v>
      </c>
      <c r="N1577" s="9"/>
      <c r="O1577" s="12">
        <v>0</v>
      </c>
      <c r="P1577" s="9"/>
      <c r="Q1577" s="12">
        <f t="shared" si="55"/>
        <v>300</v>
      </c>
      <c r="T1577" s="11"/>
    </row>
    <row r="1578" spans="1:20" ht="11.85" customHeight="1" x14ac:dyDescent="0.2">
      <c r="A1578" s="3" t="s">
        <v>304</v>
      </c>
      <c r="C1578" s="2">
        <f>SUM(C1564:C1577)</f>
        <v>53470.19</v>
      </c>
      <c r="E1578" s="2">
        <f>SUM(E1564:E1577)</f>
        <v>76135.44</v>
      </c>
      <c r="G1578" s="2">
        <f>SUM(G1564:G1577)</f>
        <v>106417.38000000002</v>
      </c>
      <c r="I1578" s="2">
        <f>SUM(I1564:I1577)</f>
        <v>97100</v>
      </c>
      <c r="K1578" s="2">
        <f>SUM(K1564:K1577)</f>
        <v>112550</v>
      </c>
      <c r="L1578" s="9"/>
      <c r="M1578" s="2">
        <f>SUM(M1564:M1577)</f>
        <v>112550</v>
      </c>
      <c r="N1578" s="9"/>
      <c r="O1578" s="2">
        <f>SUM(O1564:O1577)</f>
        <v>0</v>
      </c>
      <c r="P1578" s="9"/>
      <c r="Q1578" s="2">
        <f>SUM(Q1564:Q1577)</f>
        <v>112550</v>
      </c>
      <c r="T1578" s="14"/>
    </row>
    <row r="1579" spans="1:20" ht="11.85" customHeight="1" x14ac:dyDescent="0.2"/>
    <row r="1580" spans="1:20" ht="11.85" customHeight="1" x14ac:dyDescent="0.2">
      <c r="A1580" s="10" t="s">
        <v>305</v>
      </c>
    </row>
    <row r="1581" spans="1:20" ht="11.85" customHeight="1" x14ac:dyDescent="0.2">
      <c r="A1581" s="3" t="s">
        <v>818</v>
      </c>
      <c r="C1581" s="2">
        <v>500</v>
      </c>
      <c r="E1581" s="2">
        <v>0</v>
      </c>
      <c r="G1581" s="2">
        <v>11.2</v>
      </c>
      <c r="I1581" s="2">
        <v>100</v>
      </c>
      <c r="K1581" s="2">
        <v>100</v>
      </c>
      <c r="L1581" s="9"/>
      <c r="M1581" s="2">
        <v>100</v>
      </c>
      <c r="N1581" s="9"/>
      <c r="O1581" s="2">
        <v>0</v>
      </c>
      <c r="P1581" s="9"/>
      <c r="Q1581" s="2">
        <f t="shared" ref="Q1581:Q1599" si="56">M1581+O1581</f>
        <v>100</v>
      </c>
      <c r="T1581" s="11"/>
    </row>
    <row r="1582" spans="1:20" ht="11.85" customHeight="1" x14ac:dyDescent="0.2">
      <c r="A1582" s="3" t="s">
        <v>819</v>
      </c>
      <c r="C1582" s="2">
        <v>500</v>
      </c>
      <c r="E1582" s="2">
        <v>2010.4</v>
      </c>
      <c r="G1582" s="2">
        <v>1790.72</v>
      </c>
      <c r="I1582" s="2">
        <v>3000</v>
      </c>
      <c r="K1582" s="2">
        <f>3000-1250</f>
        <v>1750</v>
      </c>
      <c r="L1582" s="9"/>
      <c r="M1582" s="2">
        <v>3000</v>
      </c>
      <c r="N1582" s="9"/>
      <c r="O1582" s="2">
        <v>0</v>
      </c>
      <c r="P1582" s="9"/>
      <c r="Q1582" s="2">
        <f t="shared" si="56"/>
        <v>3000</v>
      </c>
      <c r="T1582" s="11"/>
    </row>
    <row r="1583" spans="1:20" ht="11.85" customHeight="1" x14ac:dyDescent="0.2">
      <c r="A1583" s="3" t="s">
        <v>820</v>
      </c>
      <c r="C1583" s="2">
        <v>597.92999999999995</v>
      </c>
      <c r="E1583" s="2">
        <v>931.16</v>
      </c>
      <c r="G1583" s="2">
        <v>663.63</v>
      </c>
      <c r="I1583" s="2">
        <v>1000</v>
      </c>
      <c r="K1583" s="2">
        <v>1000</v>
      </c>
      <c r="L1583" s="9"/>
      <c r="M1583" s="2">
        <v>1000</v>
      </c>
      <c r="N1583" s="9"/>
      <c r="O1583" s="2">
        <v>0</v>
      </c>
      <c r="P1583" s="9"/>
      <c r="Q1583" s="2">
        <f t="shared" si="56"/>
        <v>1000</v>
      </c>
      <c r="T1583" s="11"/>
    </row>
    <row r="1584" spans="1:20" ht="11.85" hidden="1" customHeight="1" x14ac:dyDescent="0.2">
      <c r="A1584" s="3" t="s">
        <v>821</v>
      </c>
      <c r="C1584" s="2">
        <v>0</v>
      </c>
      <c r="E1584" s="2">
        <v>0</v>
      </c>
      <c r="G1584" s="2">
        <v>0</v>
      </c>
      <c r="I1584" s="2">
        <v>0</v>
      </c>
      <c r="K1584" s="2">
        <v>0</v>
      </c>
      <c r="L1584" s="9"/>
      <c r="M1584" s="2">
        <v>0</v>
      </c>
      <c r="N1584" s="9"/>
      <c r="O1584" s="2">
        <v>0</v>
      </c>
      <c r="P1584" s="9"/>
      <c r="Q1584" s="2">
        <f t="shared" si="56"/>
        <v>0</v>
      </c>
      <c r="T1584" s="11"/>
    </row>
    <row r="1585" spans="1:20" ht="11.85" hidden="1" customHeight="1" x14ac:dyDescent="0.2">
      <c r="A1585" s="3" t="s">
        <v>822</v>
      </c>
      <c r="C1585" s="2">
        <v>0</v>
      </c>
      <c r="E1585" s="2">
        <v>0</v>
      </c>
      <c r="G1585" s="2">
        <v>0</v>
      </c>
      <c r="I1585" s="2">
        <v>0</v>
      </c>
      <c r="K1585" s="2">
        <v>0</v>
      </c>
      <c r="L1585" s="9"/>
      <c r="M1585" s="2">
        <v>0</v>
      </c>
      <c r="N1585" s="9"/>
      <c r="O1585" s="2">
        <v>0</v>
      </c>
      <c r="P1585" s="9"/>
      <c r="Q1585" s="2">
        <f t="shared" si="56"/>
        <v>0</v>
      </c>
      <c r="T1585" s="11"/>
    </row>
    <row r="1586" spans="1:20" ht="11.85" customHeight="1" x14ac:dyDescent="0.2">
      <c r="A1586" s="3" t="s">
        <v>823</v>
      </c>
      <c r="C1586" s="2">
        <v>702.24</v>
      </c>
      <c r="E1586" s="2">
        <v>78.81</v>
      </c>
      <c r="G1586" s="2">
        <v>32.44</v>
      </c>
      <c r="I1586" s="2">
        <v>1000</v>
      </c>
      <c r="K1586" s="2">
        <v>26000</v>
      </c>
      <c r="L1586" s="9"/>
      <c r="M1586" s="2">
        <v>1000</v>
      </c>
      <c r="N1586" s="9"/>
      <c r="O1586" s="2">
        <v>0</v>
      </c>
      <c r="P1586" s="9"/>
      <c r="Q1586" s="2">
        <f t="shared" si="56"/>
        <v>1000</v>
      </c>
      <c r="T1586" s="11"/>
    </row>
    <row r="1587" spans="1:20" ht="11.85" hidden="1" customHeight="1" x14ac:dyDescent="0.2">
      <c r="A1587" s="3" t="s">
        <v>824</v>
      </c>
      <c r="C1587" s="2">
        <v>0</v>
      </c>
      <c r="E1587" s="2">
        <v>0</v>
      </c>
      <c r="G1587" s="2">
        <v>0</v>
      </c>
      <c r="I1587" s="2">
        <v>0</v>
      </c>
      <c r="K1587" s="2">
        <v>0</v>
      </c>
      <c r="L1587" s="9"/>
      <c r="M1587" s="2">
        <v>0</v>
      </c>
      <c r="N1587" s="9"/>
      <c r="O1587" s="2">
        <v>0</v>
      </c>
      <c r="P1587" s="9"/>
      <c r="Q1587" s="2">
        <f t="shared" si="56"/>
        <v>0</v>
      </c>
      <c r="T1587" s="11"/>
    </row>
    <row r="1588" spans="1:20" ht="11.85" hidden="1" customHeight="1" x14ac:dyDescent="0.2">
      <c r="A1588" s="3" t="s">
        <v>825</v>
      </c>
      <c r="C1588" s="2">
        <v>0</v>
      </c>
      <c r="E1588" s="2">
        <v>0</v>
      </c>
      <c r="G1588" s="2">
        <v>0</v>
      </c>
      <c r="I1588" s="2">
        <v>0</v>
      </c>
      <c r="K1588" s="2">
        <v>0</v>
      </c>
      <c r="L1588" s="9"/>
      <c r="M1588" s="2">
        <v>0</v>
      </c>
      <c r="N1588" s="9"/>
      <c r="O1588" s="2">
        <v>0</v>
      </c>
      <c r="P1588" s="9"/>
      <c r="Q1588" s="2">
        <f t="shared" si="56"/>
        <v>0</v>
      </c>
      <c r="T1588" s="11"/>
    </row>
    <row r="1589" spans="1:20" ht="11.85" hidden="1" customHeight="1" x14ac:dyDescent="0.2">
      <c r="A1589" s="3" t="s">
        <v>826</v>
      </c>
      <c r="C1589" s="2">
        <v>0</v>
      </c>
      <c r="E1589" s="2">
        <v>0</v>
      </c>
      <c r="G1589" s="2">
        <v>0</v>
      </c>
      <c r="I1589" s="2">
        <v>0</v>
      </c>
      <c r="K1589" s="2">
        <v>0</v>
      </c>
      <c r="L1589" s="9"/>
      <c r="M1589" s="2">
        <v>0</v>
      </c>
      <c r="N1589" s="9"/>
      <c r="O1589" s="2">
        <v>0</v>
      </c>
      <c r="P1589" s="9"/>
      <c r="Q1589" s="2">
        <f t="shared" si="56"/>
        <v>0</v>
      </c>
      <c r="T1589" s="11"/>
    </row>
    <row r="1590" spans="1:20" ht="11.85" customHeight="1" x14ac:dyDescent="0.2">
      <c r="A1590" s="3" t="s">
        <v>827</v>
      </c>
      <c r="C1590" s="2">
        <v>278.57</v>
      </c>
      <c r="E1590" s="2">
        <v>1323.54</v>
      </c>
      <c r="G1590" s="2">
        <v>328.21</v>
      </c>
      <c r="I1590" s="2">
        <v>1800</v>
      </c>
      <c r="K1590" s="2">
        <v>1800</v>
      </c>
      <c r="L1590" s="9"/>
      <c r="M1590" s="2">
        <v>500</v>
      </c>
      <c r="N1590" s="9"/>
      <c r="O1590" s="2">
        <v>0</v>
      </c>
      <c r="P1590" s="9"/>
      <c r="Q1590" s="2">
        <f t="shared" si="56"/>
        <v>500</v>
      </c>
      <c r="T1590" s="11"/>
    </row>
    <row r="1591" spans="1:20" ht="11.85" customHeight="1" x14ac:dyDescent="0.2">
      <c r="A1591" s="3" t="s">
        <v>828</v>
      </c>
      <c r="C1591" s="2">
        <v>0</v>
      </c>
      <c r="E1591" s="2">
        <v>0</v>
      </c>
      <c r="G1591" s="2">
        <v>0</v>
      </c>
      <c r="I1591" s="2">
        <v>0</v>
      </c>
      <c r="K1591" s="2">
        <v>0</v>
      </c>
      <c r="L1591" s="9"/>
      <c r="M1591" s="2">
        <v>0</v>
      </c>
      <c r="N1591" s="9"/>
      <c r="O1591" s="2">
        <v>0</v>
      </c>
      <c r="P1591" s="9"/>
      <c r="Q1591" s="2">
        <f t="shared" si="56"/>
        <v>0</v>
      </c>
      <c r="T1591" s="11"/>
    </row>
    <row r="1592" spans="1:20" ht="11.85" customHeight="1" x14ac:dyDescent="0.2">
      <c r="A1592" s="3" t="s">
        <v>829</v>
      </c>
      <c r="C1592" s="2">
        <v>1143.0999999999999</v>
      </c>
      <c r="E1592" s="2">
        <v>1909.45</v>
      </c>
      <c r="G1592" s="2">
        <v>2908.57</v>
      </c>
      <c r="I1592" s="2">
        <v>3000</v>
      </c>
      <c r="K1592" s="2">
        <f>3000+800</f>
        <v>3800</v>
      </c>
      <c r="L1592" s="9"/>
      <c r="M1592" s="2">
        <v>3800</v>
      </c>
      <c r="N1592" s="9"/>
      <c r="O1592" s="2">
        <v>0</v>
      </c>
      <c r="P1592" s="9"/>
      <c r="Q1592" s="2">
        <f t="shared" si="56"/>
        <v>3800</v>
      </c>
      <c r="T1592" s="11"/>
    </row>
    <row r="1593" spans="1:20" ht="11.85" hidden="1" customHeight="1" x14ac:dyDescent="0.2">
      <c r="A1593" s="3" t="s">
        <v>830</v>
      </c>
      <c r="C1593" s="2">
        <v>0</v>
      </c>
      <c r="E1593" s="2">
        <v>0</v>
      </c>
      <c r="G1593" s="2">
        <v>0</v>
      </c>
      <c r="I1593" s="2">
        <v>0</v>
      </c>
      <c r="K1593" s="2">
        <v>0</v>
      </c>
      <c r="L1593" s="9"/>
      <c r="M1593" s="2">
        <v>0</v>
      </c>
      <c r="N1593" s="9"/>
      <c r="O1593" s="2">
        <v>0</v>
      </c>
      <c r="P1593" s="9"/>
      <c r="Q1593" s="2">
        <f t="shared" si="56"/>
        <v>0</v>
      </c>
      <c r="T1593" s="11"/>
    </row>
    <row r="1594" spans="1:20" ht="11.85" hidden="1" customHeight="1" x14ac:dyDescent="0.2">
      <c r="A1594" s="3" t="s">
        <v>831</v>
      </c>
      <c r="C1594" s="2">
        <v>0</v>
      </c>
      <c r="E1594" s="2">
        <v>0</v>
      </c>
      <c r="G1594" s="2">
        <v>0</v>
      </c>
      <c r="I1594" s="2">
        <v>0</v>
      </c>
      <c r="K1594" s="2">
        <v>0</v>
      </c>
      <c r="L1594" s="9"/>
      <c r="M1594" s="2">
        <v>0</v>
      </c>
      <c r="N1594" s="9"/>
      <c r="O1594" s="2">
        <v>0</v>
      </c>
      <c r="P1594" s="9"/>
      <c r="Q1594" s="2">
        <f t="shared" si="56"/>
        <v>0</v>
      </c>
      <c r="T1594" s="11"/>
    </row>
    <row r="1595" spans="1:20" ht="11.85" hidden="1" customHeight="1" x14ac:dyDescent="0.2">
      <c r="A1595" s="3" t="s">
        <v>832</v>
      </c>
      <c r="C1595" s="2">
        <v>0</v>
      </c>
      <c r="E1595" s="2">
        <v>0</v>
      </c>
      <c r="G1595" s="2">
        <v>0</v>
      </c>
      <c r="I1595" s="2">
        <v>0</v>
      </c>
      <c r="K1595" s="2">
        <v>0</v>
      </c>
      <c r="L1595" s="9"/>
      <c r="M1595" s="2">
        <v>0</v>
      </c>
      <c r="N1595" s="9"/>
      <c r="O1595" s="2">
        <v>0</v>
      </c>
      <c r="P1595" s="9"/>
      <c r="Q1595" s="2">
        <f t="shared" si="56"/>
        <v>0</v>
      </c>
      <c r="T1595" s="11"/>
    </row>
    <row r="1596" spans="1:20" ht="11.85" customHeight="1" x14ac:dyDescent="0.2">
      <c r="A1596" s="3" t="s">
        <v>833</v>
      </c>
      <c r="C1596" s="2">
        <v>0</v>
      </c>
      <c r="E1596" s="2">
        <v>0</v>
      </c>
      <c r="G1596" s="2">
        <v>0</v>
      </c>
      <c r="I1596" s="2">
        <v>600</v>
      </c>
      <c r="K1596" s="2">
        <v>600</v>
      </c>
      <c r="L1596" s="9"/>
      <c r="M1596" s="2">
        <v>600</v>
      </c>
      <c r="N1596" s="9"/>
      <c r="O1596" s="2">
        <v>0</v>
      </c>
      <c r="P1596" s="9"/>
      <c r="Q1596" s="2">
        <f t="shared" si="56"/>
        <v>600</v>
      </c>
      <c r="T1596" s="11"/>
    </row>
    <row r="1597" spans="1:20" ht="11.85" customHeight="1" x14ac:dyDescent="0.2">
      <c r="A1597" s="3" t="s">
        <v>834</v>
      </c>
      <c r="C1597" s="2">
        <v>0</v>
      </c>
      <c r="E1597" s="2">
        <v>0</v>
      </c>
      <c r="G1597" s="2">
        <v>0</v>
      </c>
      <c r="I1597" s="2">
        <v>600</v>
      </c>
      <c r="K1597" s="2">
        <v>600</v>
      </c>
      <c r="L1597" s="9"/>
      <c r="M1597" s="2">
        <v>600</v>
      </c>
      <c r="N1597" s="9"/>
      <c r="O1597" s="2">
        <v>0</v>
      </c>
      <c r="P1597" s="9"/>
      <c r="Q1597" s="2">
        <f t="shared" si="56"/>
        <v>600</v>
      </c>
      <c r="T1597" s="11"/>
    </row>
    <row r="1598" spans="1:20" ht="11.85" hidden="1" customHeight="1" x14ac:dyDescent="0.2">
      <c r="A1598" s="3" t="s">
        <v>835</v>
      </c>
      <c r="C1598" s="2">
        <v>0</v>
      </c>
      <c r="E1598" s="2">
        <v>0</v>
      </c>
      <c r="G1598" s="2">
        <v>0</v>
      </c>
      <c r="I1598" s="2">
        <v>0</v>
      </c>
      <c r="K1598" s="2">
        <v>0</v>
      </c>
      <c r="L1598" s="9"/>
      <c r="M1598" s="2">
        <v>0</v>
      </c>
      <c r="N1598" s="9"/>
      <c r="O1598" s="2">
        <v>0</v>
      </c>
      <c r="P1598" s="9"/>
      <c r="Q1598" s="2">
        <f t="shared" si="56"/>
        <v>0</v>
      </c>
      <c r="T1598" s="11"/>
    </row>
    <row r="1599" spans="1:20" ht="11.85" customHeight="1" x14ac:dyDescent="0.2">
      <c r="A1599" s="3" t="s">
        <v>836</v>
      </c>
      <c r="C1599" s="12">
        <v>0</v>
      </c>
      <c r="E1599" s="12">
        <v>0</v>
      </c>
      <c r="G1599" s="12">
        <v>0</v>
      </c>
      <c r="I1599" s="12">
        <v>0</v>
      </c>
      <c r="K1599" s="12">
        <v>0</v>
      </c>
      <c r="L1599" s="9"/>
      <c r="M1599" s="12">
        <v>0</v>
      </c>
      <c r="N1599" s="9"/>
      <c r="O1599" s="12">
        <v>0</v>
      </c>
      <c r="P1599" s="9"/>
      <c r="Q1599" s="12">
        <f t="shared" si="56"/>
        <v>0</v>
      </c>
      <c r="T1599" s="11"/>
    </row>
    <row r="1600" spans="1:20" ht="11.85" customHeight="1" x14ac:dyDescent="0.2">
      <c r="A1600" s="3" t="s">
        <v>328</v>
      </c>
      <c r="C1600" s="2">
        <f>SUM(C1581:C1587)+SUM(C1588:C1599)</f>
        <v>3721.84</v>
      </c>
      <c r="E1600" s="2">
        <f>SUM(E1581:E1587)+SUM(E1588:E1599)</f>
        <v>6253.36</v>
      </c>
      <c r="G1600" s="2">
        <f>SUM(G1581:G1587)+SUM(G1588:G1599)</f>
        <v>5734.77</v>
      </c>
      <c r="I1600" s="2">
        <f>SUM(I1581:I1587)+SUM(I1588:I1599)</f>
        <v>11100</v>
      </c>
      <c r="K1600" s="2">
        <f>SUM(K1581:K1587)+SUM(K1588:K1599)</f>
        <v>35650</v>
      </c>
      <c r="L1600" s="9"/>
      <c r="M1600" s="2">
        <f>SUM(M1581:M1587)+SUM(M1588:M1599)</f>
        <v>10600</v>
      </c>
      <c r="N1600" s="9"/>
      <c r="O1600" s="2">
        <f>SUM(O1581:O1587)+SUM(O1588:O1599)</f>
        <v>0</v>
      </c>
      <c r="P1600" s="9"/>
      <c r="Q1600" s="2">
        <f>SUM(Q1581:Q1587)+SUM(Q1588:Q1599)</f>
        <v>10600</v>
      </c>
      <c r="T1600" s="14"/>
    </row>
    <row r="1601" spans="1:20" ht="11.85" customHeight="1" x14ac:dyDescent="0.2">
      <c r="L1601" s="9"/>
      <c r="N1601" s="9"/>
      <c r="P1601" s="9"/>
    </row>
    <row r="1602" spans="1:20" ht="11.85" customHeight="1" x14ac:dyDescent="0.2">
      <c r="A1602" s="3" t="s">
        <v>837</v>
      </c>
      <c r="C1602" s="2">
        <v>0</v>
      </c>
      <c r="E1602" s="2">
        <v>0</v>
      </c>
      <c r="G1602" s="2">
        <v>0</v>
      </c>
      <c r="I1602" s="2">
        <v>0</v>
      </c>
      <c r="K1602" s="2">
        <v>0</v>
      </c>
      <c r="L1602" s="9"/>
      <c r="M1602" s="2">
        <v>0</v>
      </c>
      <c r="N1602" s="9"/>
      <c r="O1602" s="2">
        <v>0</v>
      </c>
      <c r="P1602" s="9"/>
      <c r="Q1602" s="2">
        <f>M1602+O1602</f>
        <v>0</v>
      </c>
      <c r="T1602" s="11"/>
    </row>
    <row r="1603" spans="1:20" ht="11.85" customHeight="1" x14ac:dyDescent="0.2">
      <c r="A1603" s="3" t="s">
        <v>838</v>
      </c>
      <c r="C1603" s="12">
        <v>0</v>
      </c>
      <c r="E1603" s="12">
        <v>0</v>
      </c>
      <c r="G1603" s="12">
        <v>0</v>
      </c>
      <c r="I1603" s="12">
        <v>0</v>
      </c>
      <c r="K1603" s="12">
        <v>0</v>
      </c>
      <c r="L1603" s="9"/>
      <c r="M1603" s="12">
        <v>0</v>
      </c>
      <c r="N1603" s="9"/>
      <c r="O1603" s="12">
        <v>0</v>
      </c>
      <c r="P1603" s="9"/>
      <c r="Q1603" s="12">
        <f>M1603+O1603</f>
        <v>0</v>
      </c>
      <c r="T1603" s="11"/>
    </row>
    <row r="1604" spans="1:20" ht="11.85" customHeight="1" x14ac:dyDescent="0.2">
      <c r="A1604" s="3" t="s">
        <v>331</v>
      </c>
      <c r="C1604" s="2">
        <f>SUM(C1602:C1603)</f>
        <v>0</v>
      </c>
      <c r="E1604" s="2">
        <f>SUM(E1602:E1603)</f>
        <v>0</v>
      </c>
      <c r="G1604" s="2">
        <f>SUM(G1602:G1603)</f>
        <v>0</v>
      </c>
      <c r="I1604" s="2">
        <f>SUM(I1602:I1603)</f>
        <v>0</v>
      </c>
      <c r="K1604" s="2">
        <f>SUM(K1602:K1603)</f>
        <v>0</v>
      </c>
      <c r="L1604" s="9"/>
      <c r="M1604" s="2">
        <f>SUM(M1602:M1603)</f>
        <v>0</v>
      </c>
      <c r="N1604" s="9"/>
      <c r="O1604" s="2">
        <f>SUM(O1602:O1603)</f>
        <v>0</v>
      </c>
      <c r="P1604" s="9"/>
      <c r="Q1604" s="2">
        <f>SUM(Q1602:Q1603)</f>
        <v>0</v>
      </c>
    </row>
    <row r="1605" spans="1:20" ht="11.85" customHeight="1" x14ac:dyDescent="0.2">
      <c r="L1605" s="9"/>
      <c r="N1605" s="9"/>
      <c r="P1605" s="9"/>
    </row>
    <row r="1606" spans="1:20" ht="11.85" customHeight="1" x14ac:dyDescent="0.2">
      <c r="A1606" s="3" t="s">
        <v>839</v>
      </c>
      <c r="C1606" s="2">
        <f>C1561+C1578+C1600+C1604</f>
        <v>123618.62</v>
      </c>
      <c r="E1606" s="2">
        <f>E1561+E1578+E1600+E1604</f>
        <v>122520.8</v>
      </c>
      <c r="G1606" s="2">
        <f>G1561+G1578+G1600+G1604</f>
        <v>157591.51999999999</v>
      </c>
      <c r="I1606" s="2">
        <f>I1561+I1578+I1600+I1604</f>
        <v>145879</v>
      </c>
      <c r="K1606" s="2">
        <f>K1561+K1578+K1600+K1604</f>
        <v>185879</v>
      </c>
      <c r="L1606" s="9"/>
      <c r="M1606" s="2">
        <f>M1561+M1578+M1600+M1604</f>
        <v>160972</v>
      </c>
      <c r="N1606" s="9"/>
      <c r="O1606" s="2">
        <f>O1561+O1578+O1600+O1604</f>
        <v>0</v>
      </c>
      <c r="P1606" s="9"/>
      <c r="Q1606" s="2">
        <f>Q1561+Q1578+Q1600+Q1604</f>
        <v>160972</v>
      </c>
      <c r="T1606" s="11"/>
    </row>
    <row r="1607" spans="1:20" ht="11.85" customHeight="1" x14ac:dyDescent="0.2">
      <c r="A1607" s="1"/>
      <c r="B1607" s="1"/>
      <c r="E1607" s="2" t="str">
        <f>$E$1</f>
        <v>CITY OF BRADY</v>
      </c>
    </row>
    <row r="1608" spans="1:20" ht="11.85" customHeight="1" x14ac:dyDescent="0.2">
      <c r="E1608" s="2" t="str">
        <f>$E$2</f>
        <v>BUDGET REPORT</v>
      </c>
    </row>
    <row r="1609" spans="1:20" ht="11.85" customHeight="1" x14ac:dyDescent="0.2">
      <c r="E1609" s="2" t="str">
        <f>$E$3</f>
        <v>FISCAL YEAR 2024 - 2025</v>
      </c>
    </row>
    <row r="1610" spans="1:20" ht="11.85" customHeight="1" x14ac:dyDescent="0.2">
      <c r="A1610" s="3" t="s">
        <v>3</v>
      </c>
    </row>
    <row r="1611" spans="1:20" ht="11.85" customHeight="1" x14ac:dyDescent="0.2">
      <c r="A1611" s="3" t="s">
        <v>840</v>
      </c>
    </row>
    <row r="1612" spans="1:20" ht="11.85" customHeight="1" x14ac:dyDescent="0.2">
      <c r="I1612" s="53" t="str">
        <f>$I$6</f>
        <v>(----- 2023-2024------)</v>
      </c>
      <c r="J1612" s="53"/>
      <c r="K1612" s="53"/>
      <c r="L1612" s="6"/>
      <c r="M1612" s="54" t="str">
        <f>$M$6</f>
        <v>2024-2025</v>
      </c>
      <c r="N1612" s="54"/>
      <c r="O1612" s="54"/>
      <c r="P1612" s="54"/>
      <c r="Q1612" s="54"/>
    </row>
    <row r="1613" spans="1:20" ht="11.85" customHeight="1" x14ac:dyDescent="0.2">
      <c r="C1613" s="5" t="str">
        <f>$C$7</f>
        <v>2020-2021</v>
      </c>
      <c r="D1613" s="5"/>
      <c r="E1613" s="5" t="str">
        <f>$E$7</f>
        <v>2021-2022</v>
      </c>
      <c r="F1613" s="5"/>
      <c r="G1613" s="5" t="str">
        <f>$G$7</f>
        <v>2022-2023</v>
      </c>
      <c r="H1613" s="5"/>
      <c r="I1613" s="5" t="s">
        <v>9</v>
      </c>
      <c r="J1613" s="5"/>
      <c r="K1613" s="5" t="str">
        <f>+$K$7</f>
        <v>PROJECTED</v>
      </c>
      <c r="L1613" s="6"/>
      <c r="M1613" s="5">
        <f>$M$7</f>
        <v>0</v>
      </c>
      <c r="N1613" s="6"/>
      <c r="O1613" s="5" t="str">
        <f>$O$7</f>
        <v>2024-2025</v>
      </c>
      <c r="P1613" s="6"/>
      <c r="Q1613" s="5" t="str">
        <f>$Q$7</f>
        <v>APPROVED</v>
      </c>
    </row>
    <row r="1614" spans="1:20" ht="11.85" customHeight="1" x14ac:dyDescent="0.2">
      <c r="A1614" s="7" t="s">
        <v>273</v>
      </c>
      <c r="C1614" s="8" t="s">
        <v>12</v>
      </c>
      <c r="D1614" s="5"/>
      <c r="E1614" s="8" t="s">
        <v>12</v>
      </c>
      <c r="F1614" s="5"/>
      <c r="G1614" s="8" t="s">
        <v>12</v>
      </c>
      <c r="H1614" s="5"/>
      <c r="I1614" s="8" t="s">
        <v>13</v>
      </c>
      <c r="J1614" s="5"/>
      <c r="K1614" s="8" t="s">
        <v>13</v>
      </c>
      <c r="L1614" s="6"/>
      <c r="M1614" s="8" t="str">
        <f>$M$8</f>
        <v>BASE</v>
      </c>
      <c r="N1614" s="6"/>
      <c r="O1614" s="8" t="str">
        <f>$O$8</f>
        <v>SUPPLEMENTAL</v>
      </c>
      <c r="P1614" s="6"/>
      <c r="Q1614" s="8" t="str">
        <f>$Q$8</f>
        <v>BUDGET</v>
      </c>
    </row>
    <row r="1615" spans="1:20" ht="11.85" customHeight="1" x14ac:dyDescent="0.2"/>
    <row r="1616" spans="1:20" ht="11.85" customHeight="1" x14ac:dyDescent="0.2">
      <c r="A1616" s="10" t="s">
        <v>286</v>
      </c>
    </row>
    <row r="1617" spans="1:20" ht="11.85" hidden="1" customHeight="1" x14ac:dyDescent="0.2">
      <c r="A1617" s="3" t="s">
        <v>841</v>
      </c>
      <c r="C1617" s="2">
        <v>0</v>
      </c>
      <c r="E1617" s="2">
        <v>0</v>
      </c>
      <c r="G1617" s="2">
        <v>0</v>
      </c>
      <c r="I1617" s="2">
        <v>0</v>
      </c>
      <c r="K1617" s="2">
        <v>0</v>
      </c>
      <c r="L1617" s="9"/>
      <c r="M1617" s="2">
        <v>0</v>
      </c>
      <c r="N1617" s="9"/>
      <c r="O1617" s="2">
        <v>0</v>
      </c>
      <c r="P1617" s="9"/>
      <c r="Q1617" s="2">
        <f t="shared" ref="Q1617:Q1622" si="57">M1617+O1617</f>
        <v>0</v>
      </c>
      <c r="T1617" s="11"/>
    </row>
    <row r="1618" spans="1:20" ht="11.85" hidden="1" customHeight="1" x14ac:dyDescent="0.2">
      <c r="A1618" s="3" t="s">
        <v>842</v>
      </c>
      <c r="C1618" s="2">
        <v>0</v>
      </c>
      <c r="E1618" s="2">
        <v>0</v>
      </c>
      <c r="G1618" s="2">
        <v>0</v>
      </c>
      <c r="I1618" s="2">
        <v>0</v>
      </c>
      <c r="K1618" s="2">
        <v>0</v>
      </c>
      <c r="L1618" s="9"/>
      <c r="M1618" s="2">
        <v>0</v>
      </c>
      <c r="N1618" s="9"/>
      <c r="O1618" s="2">
        <v>0</v>
      </c>
      <c r="P1618" s="9"/>
      <c r="Q1618" s="2">
        <f t="shared" si="57"/>
        <v>0</v>
      </c>
      <c r="T1618" s="11"/>
    </row>
    <row r="1619" spans="1:20" ht="11.85" customHeight="1" x14ac:dyDescent="0.2">
      <c r="A1619" s="3" t="s">
        <v>843</v>
      </c>
      <c r="C1619" s="2">
        <v>2013.09</v>
      </c>
      <c r="E1619" s="2">
        <v>1835.52</v>
      </c>
      <c r="G1619" s="2">
        <v>1995.73</v>
      </c>
      <c r="I1619" s="2">
        <v>2400</v>
      </c>
      <c r="K1619" s="2">
        <v>2400</v>
      </c>
      <c r="L1619" s="9"/>
      <c r="M1619" s="2">
        <v>2400</v>
      </c>
      <c r="N1619" s="9"/>
      <c r="O1619" s="2">
        <v>0</v>
      </c>
      <c r="P1619" s="9"/>
      <c r="Q1619" s="2">
        <f t="shared" si="57"/>
        <v>2400</v>
      </c>
      <c r="T1619" s="11"/>
    </row>
    <row r="1620" spans="1:20" ht="11.85" hidden="1" customHeight="1" x14ac:dyDescent="0.2">
      <c r="A1620" s="3" t="s">
        <v>844</v>
      </c>
      <c r="C1620" s="2">
        <v>0</v>
      </c>
      <c r="E1620" s="2">
        <v>0</v>
      </c>
      <c r="G1620" s="2">
        <v>0</v>
      </c>
      <c r="I1620" s="2">
        <v>0</v>
      </c>
      <c r="K1620" s="2">
        <v>0</v>
      </c>
      <c r="L1620" s="9"/>
      <c r="M1620" s="2">
        <v>0</v>
      </c>
      <c r="N1620" s="9"/>
      <c r="O1620" s="2">
        <v>0</v>
      </c>
      <c r="P1620" s="9"/>
      <c r="Q1620" s="2">
        <f t="shared" si="57"/>
        <v>0</v>
      </c>
      <c r="T1620" s="11"/>
    </row>
    <row r="1621" spans="1:20" ht="11.85" hidden="1" customHeight="1" x14ac:dyDescent="0.2">
      <c r="A1621" s="3" t="s">
        <v>845</v>
      </c>
      <c r="C1621" s="2">
        <v>0</v>
      </c>
      <c r="E1621" s="2">
        <v>0</v>
      </c>
      <c r="G1621" s="2">
        <v>0</v>
      </c>
      <c r="I1621" s="2">
        <v>0</v>
      </c>
      <c r="K1621" s="2">
        <v>0</v>
      </c>
      <c r="L1621" s="9"/>
      <c r="M1621" s="2">
        <v>0</v>
      </c>
      <c r="N1621" s="9"/>
      <c r="O1621" s="2">
        <v>0</v>
      </c>
      <c r="P1621" s="9"/>
      <c r="Q1621" s="2">
        <f t="shared" si="57"/>
        <v>0</v>
      </c>
      <c r="T1621" s="11"/>
    </row>
    <row r="1622" spans="1:20" ht="11.85" customHeight="1" x14ac:dyDescent="0.2">
      <c r="A1622" s="3" t="s">
        <v>846</v>
      </c>
      <c r="C1622" s="12">
        <v>0</v>
      </c>
      <c r="E1622" s="12">
        <v>0</v>
      </c>
      <c r="G1622" s="12">
        <v>2500</v>
      </c>
      <c r="I1622" s="12">
        <v>2500</v>
      </c>
      <c r="K1622" s="12">
        <v>2500</v>
      </c>
      <c r="L1622" s="9"/>
      <c r="M1622" s="12">
        <v>0</v>
      </c>
      <c r="N1622" s="9"/>
      <c r="O1622" s="12">
        <v>0</v>
      </c>
      <c r="P1622" s="9"/>
      <c r="Q1622" s="12">
        <f t="shared" si="57"/>
        <v>0</v>
      </c>
      <c r="T1622" s="11"/>
    </row>
    <row r="1623" spans="1:20" ht="11.85" customHeight="1" x14ac:dyDescent="0.2">
      <c r="A1623" s="3" t="s">
        <v>304</v>
      </c>
      <c r="C1623" s="2">
        <f>SUM(C1617:C1622)</f>
        <v>2013.09</v>
      </c>
      <c r="E1623" s="2">
        <f>SUM(E1617:E1622)</f>
        <v>1835.52</v>
      </c>
      <c r="G1623" s="2">
        <f>SUM(G1617:G1622)</f>
        <v>4495.7299999999996</v>
      </c>
      <c r="I1623" s="2">
        <f>SUM(I1617:I1622)</f>
        <v>4900</v>
      </c>
      <c r="K1623" s="2">
        <f>SUM(K1617:K1622)</f>
        <v>4900</v>
      </c>
      <c r="L1623" s="9"/>
      <c r="M1623" s="2">
        <f>SUM(M1617:M1622)</f>
        <v>2400</v>
      </c>
      <c r="N1623" s="9"/>
      <c r="O1623" s="2">
        <f>SUM(O1617:O1622)</f>
        <v>0</v>
      </c>
      <c r="P1623" s="9"/>
      <c r="Q1623" s="2">
        <f>SUM(Q1617:Q1622)</f>
        <v>2400</v>
      </c>
    </row>
    <row r="1624" spans="1:20" ht="11.85" customHeight="1" x14ac:dyDescent="0.2">
      <c r="L1624" s="9"/>
      <c r="N1624" s="9"/>
      <c r="P1624" s="9"/>
    </row>
    <row r="1625" spans="1:20" ht="11.85" customHeight="1" x14ac:dyDescent="0.2">
      <c r="A1625" s="3" t="s">
        <v>847</v>
      </c>
      <c r="C1625" s="2">
        <f>C1623</f>
        <v>2013.09</v>
      </c>
      <c r="E1625" s="2">
        <f>E1623</f>
        <v>1835.52</v>
      </c>
      <c r="G1625" s="2">
        <f>G1623</f>
        <v>4495.7299999999996</v>
      </c>
      <c r="I1625" s="2">
        <f>I1623</f>
        <v>4900</v>
      </c>
      <c r="K1625" s="2">
        <f>K1623</f>
        <v>4900</v>
      </c>
      <c r="L1625" s="9"/>
      <c r="M1625" s="2">
        <f>M1623</f>
        <v>2400</v>
      </c>
      <c r="N1625" s="9"/>
      <c r="O1625" s="2">
        <f>O1623</f>
        <v>0</v>
      </c>
      <c r="P1625" s="9"/>
      <c r="Q1625" s="2">
        <f>Q1623</f>
        <v>2400</v>
      </c>
      <c r="T1625" s="11"/>
    </row>
    <row r="1626" spans="1:20" ht="11.85" customHeight="1" x14ac:dyDescent="0.2"/>
    <row r="1627" spans="1:20" ht="11.85" customHeight="1" x14ac:dyDescent="0.2"/>
    <row r="1628" spans="1:20" ht="11.85" customHeight="1" x14ac:dyDescent="0.2"/>
    <row r="1629" spans="1:20" ht="11.85" customHeight="1" x14ac:dyDescent="0.2"/>
    <row r="1630" spans="1:20" ht="11.85" customHeight="1" x14ac:dyDescent="0.2"/>
    <row r="1631" spans="1:20" ht="11.85" customHeight="1" x14ac:dyDescent="0.2"/>
    <row r="1632" spans="1:20" ht="11.85" customHeight="1" x14ac:dyDescent="0.2"/>
    <row r="1633" ht="11.85" customHeight="1" x14ac:dyDescent="0.2"/>
    <row r="1634" ht="11.85" customHeight="1" x14ac:dyDescent="0.2"/>
    <row r="1635" ht="11.85" customHeight="1" x14ac:dyDescent="0.2"/>
    <row r="1636" ht="11.85" customHeight="1" x14ac:dyDescent="0.2"/>
    <row r="1637" ht="11.85" customHeight="1" x14ac:dyDescent="0.2"/>
    <row r="1638" ht="11.85" customHeight="1" x14ac:dyDescent="0.2"/>
    <row r="1639" ht="11.85" customHeight="1" x14ac:dyDescent="0.2"/>
    <row r="1640" ht="11.85" customHeight="1" x14ac:dyDescent="0.2"/>
    <row r="1641" ht="11.85" customHeight="1" x14ac:dyDescent="0.2"/>
    <row r="1642" ht="11.85" customHeight="1" x14ac:dyDescent="0.2"/>
    <row r="1643" ht="11.85" customHeight="1" x14ac:dyDescent="0.2"/>
    <row r="1644" ht="11.85" customHeight="1" x14ac:dyDescent="0.2"/>
    <row r="1645" ht="11.85" customHeight="1" x14ac:dyDescent="0.2"/>
    <row r="1646" ht="11.85" customHeight="1" x14ac:dyDescent="0.2"/>
    <row r="1647" ht="11.85" customHeight="1" x14ac:dyDescent="0.2"/>
    <row r="1648" ht="11.85" customHeight="1" x14ac:dyDescent="0.2"/>
    <row r="1649" ht="11.85" customHeight="1" x14ac:dyDescent="0.2"/>
    <row r="1650" ht="11.85" customHeight="1" x14ac:dyDescent="0.2"/>
    <row r="1651" ht="11.85" customHeight="1" x14ac:dyDescent="0.2"/>
    <row r="1652" ht="11.85" customHeight="1" x14ac:dyDescent="0.2"/>
    <row r="1653" ht="11.85" customHeight="1" x14ac:dyDescent="0.2"/>
    <row r="1654" ht="11.85" customHeight="1" x14ac:dyDescent="0.2"/>
    <row r="1655" ht="11.85" customHeight="1" x14ac:dyDescent="0.2"/>
    <row r="1656" ht="11.85" customHeight="1" x14ac:dyDescent="0.2"/>
    <row r="1657" ht="11.85" customHeight="1" x14ac:dyDescent="0.2"/>
    <row r="1658" ht="11.85" customHeight="1" x14ac:dyDescent="0.2"/>
    <row r="1659" ht="11.85" customHeight="1" x14ac:dyDescent="0.2"/>
    <row r="1660" ht="11.85" customHeight="1" x14ac:dyDescent="0.2"/>
    <row r="1661" ht="11.85" customHeight="1" x14ac:dyDescent="0.2"/>
    <row r="1662" ht="11.85" customHeight="1" x14ac:dyDescent="0.2"/>
    <row r="1663" ht="11.85" customHeight="1" x14ac:dyDescent="0.2"/>
    <row r="1664" ht="11.85" customHeight="1" x14ac:dyDescent="0.2"/>
    <row r="1665" spans="1:17" ht="11.85" customHeight="1" x14ac:dyDescent="0.2"/>
    <row r="1666" spans="1:17" ht="11.85" customHeight="1" x14ac:dyDescent="0.2"/>
    <row r="1667" spans="1:17" ht="11.85" customHeight="1" x14ac:dyDescent="0.2"/>
    <row r="1668" spans="1:17" ht="11.85" customHeight="1" x14ac:dyDescent="0.2"/>
    <row r="1669" spans="1:17" ht="11.85" customHeight="1" x14ac:dyDescent="0.2"/>
    <row r="1670" spans="1:17" ht="11.85" customHeight="1" x14ac:dyDescent="0.2"/>
    <row r="1671" spans="1:17" ht="11.85" customHeight="1" x14ac:dyDescent="0.2">
      <c r="A1671" s="1"/>
      <c r="B1671" s="1"/>
      <c r="E1671" s="2" t="str">
        <f>$E$1</f>
        <v>CITY OF BRADY</v>
      </c>
    </row>
    <row r="1672" spans="1:17" ht="11.85" customHeight="1" x14ac:dyDescent="0.2">
      <c r="E1672" s="2" t="str">
        <f>$E$2</f>
        <v>BUDGET REPORT</v>
      </c>
    </row>
    <row r="1673" spans="1:17" ht="11.85" customHeight="1" x14ac:dyDescent="0.2">
      <c r="E1673" s="2" t="str">
        <f>$E$3</f>
        <v>FISCAL YEAR 2024 - 2025</v>
      </c>
    </row>
    <row r="1674" spans="1:17" ht="11.85" customHeight="1" x14ac:dyDescent="0.2">
      <c r="A1674" s="3" t="s">
        <v>3</v>
      </c>
    </row>
    <row r="1675" spans="1:17" ht="11.85" customHeight="1" x14ac:dyDescent="0.2">
      <c r="A1675" s="3" t="s">
        <v>848</v>
      </c>
    </row>
    <row r="1676" spans="1:17" ht="11.85" customHeight="1" x14ac:dyDescent="0.2">
      <c r="I1676" s="53" t="str">
        <f>$I$6</f>
        <v>(----- 2023-2024------)</v>
      </c>
      <c r="J1676" s="53"/>
      <c r="K1676" s="53"/>
      <c r="L1676" s="6"/>
      <c r="M1676" s="54" t="str">
        <f>$M$6</f>
        <v>2024-2025</v>
      </c>
      <c r="N1676" s="54"/>
      <c r="O1676" s="54"/>
      <c r="P1676" s="54"/>
      <c r="Q1676" s="54"/>
    </row>
    <row r="1677" spans="1:17" ht="11.85" customHeight="1" x14ac:dyDescent="0.2">
      <c r="C1677" s="5" t="str">
        <f>$C$7</f>
        <v>2020-2021</v>
      </c>
      <c r="D1677" s="5"/>
      <c r="E1677" s="5" t="str">
        <f>$E$7</f>
        <v>2021-2022</v>
      </c>
      <c r="F1677" s="5"/>
      <c r="G1677" s="5" t="str">
        <f>$G$7</f>
        <v>2022-2023</v>
      </c>
      <c r="H1677" s="5"/>
      <c r="I1677" s="5" t="s">
        <v>9</v>
      </c>
      <c r="J1677" s="5"/>
      <c r="K1677" s="5" t="str">
        <f>+$K$7</f>
        <v>PROJECTED</v>
      </c>
      <c r="L1677" s="6"/>
      <c r="M1677" s="5">
        <f>$M$7</f>
        <v>0</v>
      </c>
      <c r="N1677" s="6"/>
      <c r="O1677" s="5" t="str">
        <f>$O$7</f>
        <v>2024-2025</v>
      </c>
      <c r="P1677" s="6"/>
      <c r="Q1677" s="5" t="str">
        <f>$Q$7</f>
        <v>APPROVED</v>
      </c>
    </row>
    <row r="1678" spans="1:17" ht="11.85" customHeight="1" x14ac:dyDescent="0.2">
      <c r="A1678" s="7" t="s">
        <v>273</v>
      </c>
      <c r="C1678" s="8" t="s">
        <v>12</v>
      </c>
      <c r="D1678" s="5"/>
      <c r="E1678" s="8" t="s">
        <v>12</v>
      </c>
      <c r="F1678" s="5"/>
      <c r="G1678" s="8" t="s">
        <v>12</v>
      </c>
      <c r="H1678" s="5"/>
      <c r="I1678" s="8" t="s">
        <v>13</v>
      </c>
      <c r="J1678" s="5"/>
      <c r="K1678" s="8" t="s">
        <v>13</v>
      </c>
      <c r="L1678" s="6"/>
      <c r="M1678" s="8" t="str">
        <f>$M$8</f>
        <v>BASE</v>
      </c>
      <c r="N1678" s="6"/>
      <c r="O1678" s="8" t="str">
        <f>$O$8</f>
        <v>SUPPLEMENTAL</v>
      </c>
      <c r="P1678" s="6"/>
      <c r="Q1678" s="8" t="str">
        <f>$Q$8</f>
        <v>BUDGET</v>
      </c>
    </row>
    <row r="1679" spans="1:17" ht="11.85" customHeight="1" x14ac:dyDescent="0.2"/>
    <row r="1680" spans="1:17" ht="11.85" customHeight="1" x14ac:dyDescent="0.2">
      <c r="A1680" s="10" t="s">
        <v>274</v>
      </c>
    </row>
    <row r="1681" spans="1:21" ht="11.85" customHeight="1" x14ac:dyDescent="0.2">
      <c r="A1681" s="3" t="s">
        <v>849</v>
      </c>
      <c r="C1681" s="2">
        <v>43005.63</v>
      </c>
      <c r="E1681" s="2">
        <v>42732.6</v>
      </c>
      <c r="G1681" s="2">
        <v>43950.45</v>
      </c>
      <c r="I1681" s="2">
        <v>45269</v>
      </c>
      <c r="K1681" s="2">
        <v>45269</v>
      </c>
      <c r="L1681" s="9"/>
      <c r="M1681" s="2">
        <v>46627</v>
      </c>
      <c r="N1681" s="9"/>
      <c r="O1681" s="2">
        <v>0</v>
      </c>
      <c r="P1681" s="9"/>
      <c r="Q1681" s="2">
        <f t="shared" ref="Q1681:Q1687" si="58">M1681+O1681</f>
        <v>46627</v>
      </c>
      <c r="T1681" s="11"/>
    </row>
    <row r="1682" spans="1:21" ht="11.85" customHeight="1" x14ac:dyDescent="0.2">
      <c r="A1682" s="3" t="s">
        <v>850</v>
      </c>
      <c r="C1682" s="2">
        <v>253.86</v>
      </c>
      <c r="E1682" s="2">
        <v>0</v>
      </c>
      <c r="G1682" s="2">
        <v>0</v>
      </c>
      <c r="I1682" s="2">
        <v>300</v>
      </c>
      <c r="K1682" s="2">
        <v>300</v>
      </c>
      <c r="L1682" s="9"/>
      <c r="M1682" s="2">
        <v>300</v>
      </c>
      <c r="N1682" s="9"/>
      <c r="O1682" s="2">
        <v>0</v>
      </c>
      <c r="P1682" s="9"/>
      <c r="Q1682" s="2">
        <f t="shared" si="58"/>
        <v>300</v>
      </c>
      <c r="T1682" s="11"/>
    </row>
    <row r="1683" spans="1:21" ht="11.85" customHeight="1" x14ac:dyDescent="0.2">
      <c r="A1683" s="3" t="s">
        <v>851</v>
      </c>
      <c r="C1683" s="2">
        <v>11841.84</v>
      </c>
      <c r="E1683" s="2">
        <v>10794.48</v>
      </c>
      <c r="G1683" s="2">
        <v>10938.49</v>
      </c>
      <c r="I1683" s="2">
        <v>11460</v>
      </c>
      <c r="K1683" s="2">
        <f>11460-2207</f>
        <v>9253</v>
      </c>
      <c r="L1683" s="9"/>
      <c r="M1683" s="2">
        <v>10141</v>
      </c>
      <c r="N1683" s="9"/>
      <c r="O1683" s="2">
        <v>0</v>
      </c>
      <c r="P1683" s="9"/>
      <c r="Q1683" s="2">
        <f t="shared" si="58"/>
        <v>10141</v>
      </c>
      <c r="T1683" s="11"/>
    </row>
    <row r="1684" spans="1:21" ht="11.85" customHeight="1" x14ac:dyDescent="0.2">
      <c r="A1684" s="3" t="s">
        <v>852</v>
      </c>
      <c r="C1684" s="2">
        <v>4333.7700000000004</v>
      </c>
      <c r="E1684" s="2">
        <v>4137.9799999999996</v>
      </c>
      <c r="G1684" s="2">
        <v>4298.6899999999996</v>
      </c>
      <c r="I1684" s="2">
        <v>4538</v>
      </c>
      <c r="K1684" s="2">
        <v>4538</v>
      </c>
      <c r="L1684" s="9"/>
      <c r="M1684" s="2">
        <v>4558</v>
      </c>
      <c r="N1684" s="9"/>
      <c r="O1684" s="2">
        <v>0</v>
      </c>
      <c r="P1684" s="9"/>
      <c r="Q1684" s="2">
        <f t="shared" si="58"/>
        <v>4558</v>
      </c>
      <c r="T1684" s="11"/>
    </row>
    <row r="1685" spans="1:21" ht="11.85" customHeight="1" x14ac:dyDescent="0.2">
      <c r="A1685" s="3" t="s">
        <v>853</v>
      </c>
      <c r="C1685" s="2">
        <v>1810.18</v>
      </c>
      <c r="E1685" s="2">
        <v>1957.05</v>
      </c>
      <c r="G1685" s="2">
        <v>2110.73</v>
      </c>
      <c r="I1685" s="2">
        <v>2430</v>
      </c>
      <c r="K1685" s="2">
        <v>2430</v>
      </c>
      <c r="L1685" s="9"/>
      <c r="M1685" s="2">
        <v>1718</v>
      </c>
      <c r="N1685" s="9"/>
      <c r="O1685" s="2">
        <v>0</v>
      </c>
      <c r="P1685" s="9"/>
      <c r="Q1685" s="2">
        <f t="shared" si="58"/>
        <v>1718</v>
      </c>
      <c r="T1685" s="11"/>
    </row>
    <row r="1686" spans="1:21" ht="11.85" customHeight="1" x14ac:dyDescent="0.2">
      <c r="A1686" s="3" t="s">
        <v>854</v>
      </c>
      <c r="C1686" s="2">
        <v>252</v>
      </c>
      <c r="E1686" s="2">
        <v>9</v>
      </c>
      <c r="G1686" s="2">
        <v>9</v>
      </c>
      <c r="I1686" s="2">
        <v>84</v>
      </c>
      <c r="K1686" s="2">
        <v>84</v>
      </c>
      <c r="L1686" s="9"/>
      <c r="M1686" s="2">
        <v>90</v>
      </c>
      <c r="N1686" s="9"/>
      <c r="O1686" s="2">
        <v>0</v>
      </c>
      <c r="P1686" s="9"/>
      <c r="Q1686" s="2">
        <f t="shared" si="58"/>
        <v>90</v>
      </c>
      <c r="T1686" s="11"/>
    </row>
    <row r="1687" spans="1:21" ht="11.85" customHeight="1" x14ac:dyDescent="0.2">
      <c r="A1687" s="3" t="s">
        <v>855</v>
      </c>
      <c r="C1687" s="12">
        <v>3210.45</v>
      </c>
      <c r="E1687" s="12">
        <v>3413.79</v>
      </c>
      <c r="G1687" s="12">
        <v>3380.19</v>
      </c>
      <c r="I1687" s="12">
        <v>3554</v>
      </c>
      <c r="K1687" s="12">
        <v>3554</v>
      </c>
      <c r="L1687" s="9"/>
      <c r="M1687" s="12">
        <v>3660</v>
      </c>
      <c r="N1687" s="9"/>
      <c r="O1687" s="12">
        <v>0</v>
      </c>
      <c r="P1687" s="9"/>
      <c r="Q1687" s="12">
        <f t="shared" si="58"/>
        <v>3660</v>
      </c>
      <c r="T1687" s="11"/>
    </row>
    <row r="1688" spans="1:21" ht="11.85" customHeight="1" x14ac:dyDescent="0.2">
      <c r="A1688" s="3" t="s">
        <v>285</v>
      </c>
      <c r="C1688" s="2">
        <f>SUM(C1681:C1687)</f>
        <v>64707.73</v>
      </c>
      <c r="E1688" s="2">
        <f>SUM(E1681:E1687)</f>
        <v>63044.9</v>
      </c>
      <c r="G1688" s="2">
        <f>SUM(G1681:G1687)</f>
        <v>64687.55</v>
      </c>
      <c r="I1688" s="2">
        <f>SUM(I1681:I1687)</f>
        <v>67635</v>
      </c>
      <c r="K1688" s="2">
        <f>SUM(K1681:K1687)</f>
        <v>65428</v>
      </c>
      <c r="L1688" s="9"/>
      <c r="M1688" s="2">
        <f>SUM(M1681:M1687)</f>
        <v>67094</v>
      </c>
      <c r="N1688" s="9"/>
      <c r="O1688" s="2">
        <f>SUM(O1681:O1687)</f>
        <v>0</v>
      </c>
      <c r="P1688" s="9"/>
      <c r="Q1688" s="2">
        <f>SUM(Q1681:Q1687)</f>
        <v>67094</v>
      </c>
      <c r="R1688" s="9"/>
      <c r="T1688" s="14"/>
      <c r="U1688" s="9"/>
    </row>
    <row r="1689" spans="1:21" ht="11.85" customHeight="1" x14ac:dyDescent="0.2">
      <c r="L1689" s="9"/>
      <c r="N1689" s="9"/>
      <c r="P1689" s="9"/>
    </row>
    <row r="1690" spans="1:21" ht="11.85" customHeight="1" x14ac:dyDescent="0.2">
      <c r="A1690" s="10" t="s">
        <v>286</v>
      </c>
      <c r="L1690" s="9"/>
      <c r="N1690" s="9"/>
      <c r="P1690" s="9"/>
    </row>
    <row r="1691" spans="1:21" ht="11.85" customHeight="1" x14ac:dyDescent="0.2">
      <c r="A1691" s="3" t="s">
        <v>856</v>
      </c>
      <c r="C1691" s="2">
        <v>0</v>
      </c>
      <c r="E1691" s="2">
        <v>0</v>
      </c>
      <c r="G1691" s="2">
        <v>0</v>
      </c>
      <c r="I1691" s="2">
        <v>0</v>
      </c>
      <c r="K1691" s="2">
        <v>0</v>
      </c>
      <c r="L1691" s="9"/>
      <c r="M1691" s="2">
        <v>0</v>
      </c>
      <c r="N1691" s="9"/>
      <c r="O1691" s="2">
        <v>0</v>
      </c>
      <c r="P1691" s="9"/>
      <c r="Q1691" s="2">
        <f t="shared" ref="Q1691:Q1696" si="59">M1691+O1691</f>
        <v>0</v>
      </c>
      <c r="T1691" s="11"/>
    </row>
    <row r="1692" spans="1:21" ht="11.85" customHeight="1" x14ac:dyDescent="0.2">
      <c r="A1692" s="3" t="s">
        <v>857</v>
      </c>
      <c r="C1692" s="2">
        <v>0</v>
      </c>
      <c r="E1692" s="2">
        <v>0</v>
      </c>
      <c r="G1692" s="2">
        <v>0</v>
      </c>
      <c r="I1692" s="2">
        <v>0</v>
      </c>
      <c r="K1692" s="2">
        <v>0</v>
      </c>
      <c r="L1692" s="9"/>
      <c r="M1692" s="2">
        <v>0</v>
      </c>
      <c r="N1692" s="9"/>
      <c r="O1692" s="2">
        <v>0</v>
      </c>
      <c r="P1692" s="9"/>
      <c r="Q1692" s="2">
        <f t="shared" si="59"/>
        <v>0</v>
      </c>
      <c r="T1692" s="11"/>
    </row>
    <row r="1693" spans="1:21" ht="11.85" customHeight="1" x14ac:dyDescent="0.2">
      <c r="A1693" s="3" t="s">
        <v>858</v>
      </c>
      <c r="C1693" s="2">
        <v>0</v>
      </c>
      <c r="E1693" s="2">
        <v>0</v>
      </c>
      <c r="G1693" s="2">
        <v>0</v>
      </c>
      <c r="I1693" s="2">
        <v>0</v>
      </c>
      <c r="K1693" s="2">
        <v>0</v>
      </c>
      <c r="L1693" s="9"/>
      <c r="M1693" s="2">
        <v>0</v>
      </c>
      <c r="N1693" s="9"/>
      <c r="O1693" s="2">
        <v>0</v>
      </c>
      <c r="P1693" s="9"/>
      <c r="Q1693" s="2">
        <f t="shared" si="59"/>
        <v>0</v>
      </c>
      <c r="T1693" s="11"/>
    </row>
    <row r="1694" spans="1:21" ht="11.85" customHeight="1" x14ac:dyDescent="0.2">
      <c r="A1694" s="3" t="s">
        <v>859</v>
      </c>
      <c r="C1694" s="2">
        <v>0</v>
      </c>
      <c r="E1694" s="2">
        <v>0</v>
      </c>
      <c r="G1694" s="2">
        <v>0</v>
      </c>
      <c r="I1694" s="2">
        <v>0</v>
      </c>
      <c r="K1694" s="2">
        <v>0</v>
      </c>
      <c r="L1694" s="9"/>
      <c r="M1694" s="2">
        <v>0</v>
      </c>
      <c r="N1694" s="9"/>
      <c r="O1694" s="2">
        <v>0</v>
      </c>
      <c r="P1694" s="9"/>
      <c r="Q1694" s="2">
        <f t="shared" si="59"/>
        <v>0</v>
      </c>
      <c r="T1694" s="11"/>
    </row>
    <row r="1695" spans="1:21" ht="11.85" customHeight="1" x14ac:dyDescent="0.2">
      <c r="A1695" s="3" t="s">
        <v>860</v>
      </c>
      <c r="C1695" s="2">
        <v>234.6</v>
      </c>
      <c r="E1695" s="2">
        <v>234.6</v>
      </c>
      <c r="G1695" s="2">
        <v>234</v>
      </c>
      <c r="I1695" s="2">
        <v>250</v>
      </c>
      <c r="K1695" s="2">
        <v>250</v>
      </c>
      <c r="L1695" s="9"/>
      <c r="M1695" s="2">
        <v>250</v>
      </c>
      <c r="N1695" s="9"/>
      <c r="O1695" s="2">
        <v>0</v>
      </c>
      <c r="P1695" s="9"/>
      <c r="Q1695" s="2">
        <f t="shared" si="59"/>
        <v>250</v>
      </c>
      <c r="T1695" s="11"/>
    </row>
    <row r="1696" spans="1:21" ht="11.85" customHeight="1" x14ac:dyDescent="0.2">
      <c r="A1696" s="3" t="s">
        <v>861</v>
      </c>
      <c r="C1696" s="12">
        <v>0</v>
      </c>
      <c r="E1696" s="12">
        <v>0</v>
      </c>
      <c r="G1696" s="12">
        <v>0</v>
      </c>
      <c r="I1696" s="12">
        <v>0</v>
      </c>
      <c r="K1696" s="12">
        <v>0</v>
      </c>
      <c r="L1696" s="9"/>
      <c r="M1696" s="12">
        <v>2700</v>
      </c>
      <c r="N1696" s="9"/>
      <c r="O1696" s="12">
        <v>0</v>
      </c>
      <c r="P1696" s="9"/>
      <c r="Q1696" s="12">
        <f t="shared" si="59"/>
        <v>2700</v>
      </c>
      <c r="T1696" s="11"/>
    </row>
    <row r="1697" spans="1:20" ht="11.85" customHeight="1" x14ac:dyDescent="0.2">
      <c r="A1697" s="3" t="s">
        <v>304</v>
      </c>
      <c r="C1697" s="2">
        <f>SUM(C1691:C1696)</f>
        <v>234.6</v>
      </c>
      <c r="E1697" s="2">
        <f>SUM(E1691:E1696)</f>
        <v>234.6</v>
      </c>
      <c r="G1697" s="2">
        <f>SUM(G1691:G1696)</f>
        <v>234</v>
      </c>
      <c r="I1697" s="2">
        <f>SUM(I1691:I1696)</f>
        <v>250</v>
      </c>
      <c r="K1697" s="2">
        <f>SUM(K1691:K1696)</f>
        <v>250</v>
      </c>
      <c r="L1697" s="9"/>
      <c r="M1697" s="2">
        <f>SUM(M1691:M1696)</f>
        <v>2950</v>
      </c>
      <c r="N1697" s="9"/>
      <c r="O1697" s="2">
        <f>SUM(O1691:O1696)</f>
        <v>0</v>
      </c>
      <c r="P1697" s="9"/>
      <c r="Q1697" s="2">
        <f>SUM(Q1691:Q1696)</f>
        <v>2950</v>
      </c>
    </row>
    <row r="1698" spans="1:20" ht="11.85" customHeight="1" x14ac:dyDescent="0.2">
      <c r="L1698" s="9"/>
      <c r="N1698" s="9"/>
      <c r="P1698" s="9"/>
    </row>
    <row r="1699" spans="1:20" ht="11.85" customHeight="1" x14ac:dyDescent="0.2">
      <c r="A1699" s="10" t="s">
        <v>305</v>
      </c>
      <c r="L1699" s="9"/>
      <c r="N1699" s="9"/>
      <c r="P1699" s="9"/>
    </row>
    <row r="1700" spans="1:20" ht="11.85" customHeight="1" x14ac:dyDescent="0.2">
      <c r="A1700" s="3" t="s">
        <v>862</v>
      </c>
      <c r="C1700" s="2">
        <v>0</v>
      </c>
      <c r="E1700" s="2">
        <v>0</v>
      </c>
      <c r="G1700" s="2">
        <v>20</v>
      </c>
      <c r="I1700" s="2">
        <v>100</v>
      </c>
      <c r="K1700" s="2">
        <v>100</v>
      </c>
      <c r="L1700" s="9"/>
      <c r="M1700" s="2">
        <v>100</v>
      </c>
      <c r="N1700" s="9"/>
      <c r="O1700" s="2">
        <v>0</v>
      </c>
      <c r="P1700" s="9"/>
      <c r="Q1700" s="2">
        <f t="shared" ref="Q1700:Q1713" si="60">M1700+O1700</f>
        <v>100</v>
      </c>
      <c r="T1700" s="11"/>
    </row>
    <row r="1701" spans="1:20" ht="11.85" customHeight="1" x14ac:dyDescent="0.2">
      <c r="A1701" s="3" t="s">
        <v>863</v>
      </c>
      <c r="C1701" s="2">
        <v>302.52</v>
      </c>
      <c r="E1701" s="2">
        <v>306.36</v>
      </c>
      <c r="G1701" s="2">
        <v>316.06</v>
      </c>
      <c r="I1701" s="2">
        <v>400</v>
      </c>
      <c r="K1701" s="2">
        <v>400</v>
      </c>
      <c r="L1701" s="9"/>
      <c r="M1701" s="2">
        <v>400</v>
      </c>
      <c r="N1701" s="9"/>
      <c r="O1701" s="2">
        <v>0</v>
      </c>
      <c r="P1701" s="9"/>
      <c r="Q1701" s="2">
        <f t="shared" si="60"/>
        <v>400</v>
      </c>
      <c r="T1701" s="11"/>
    </row>
    <row r="1702" spans="1:20" ht="11.85" customHeight="1" x14ac:dyDescent="0.2">
      <c r="A1702" s="3" t="s">
        <v>864</v>
      </c>
      <c r="C1702" s="2">
        <v>639.29999999999995</v>
      </c>
      <c r="E1702" s="2">
        <v>503.32</v>
      </c>
      <c r="G1702" s="2">
        <v>997.8</v>
      </c>
      <c r="I1702" s="2">
        <v>1200</v>
      </c>
      <c r="K1702" s="2">
        <v>1200</v>
      </c>
      <c r="L1702" s="9"/>
      <c r="M1702" s="2">
        <v>1200</v>
      </c>
      <c r="N1702" s="9"/>
      <c r="O1702" s="2">
        <v>0</v>
      </c>
      <c r="P1702" s="9"/>
      <c r="Q1702" s="2">
        <f t="shared" si="60"/>
        <v>1200</v>
      </c>
      <c r="T1702" s="11"/>
    </row>
    <row r="1703" spans="1:20" ht="11.85" customHeight="1" x14ac:dyDescent="0.2">
      <c r="A1703" s="3" t="s">
        <v>865</v>
      </c>
      <c r="C1703" s="2">
        <v>814.17</v>
      </c>
      <c r="E1703" s="2">
        <v>1245.67</v>
      </c>
      <c r="G1703" s="2">
        <v>1395.29</v>
      </c>
      <c r="I1703" s="2">
        <v>2000</v>
      </c>
      <c r="K1703" s="2">
        <v>2000</v>
      </c>
      <c r="L1703" s="9"/>
      <c r="M1703" s="2">
        <v>2000</v>
      </c>
      <c r="N1703" s="9"/>
      <c r="O1703" s="2">
        <v>0</v>
      </c>
      <c r="P1703" s="9"/>
      <c r="Q1703" s="2">
        <f t="shared" si="60"/>
        <v>2000</v>
      </c>
      <c r="T1703" s="11"/>
    </row>
    <row r="1704" spans="1:20" ht="11.85" customHeight="1" x14ac:dyDescent="0.2">
      <c r="A1704" s="3" t="s">
        <v>866</v>
      </c>
      <c r="C1704" s="2">
        <v>519.72</v>
      </c>
      <c r="E1704" s="2">
        <v>316.95999999999998</v>
      </c>
      <c r="G1704" s="2">
        <v>399.82</v>
      </c>
      <c r="I1704" s="2">
        <v>500</v>
      </c>
      <c r="K1704" s="2">
        <v>500</v>
      </c>
      <c r="L1704" s="9"/>
      <c r="M1704" s="2">
        <v>500</v>
      </c>
      <c r="N1704" s="9"/>
      <c r="O1704" s="2">
        <v>0</v>
      </c>
      <c r="P1704" s="9"/>
      <c r="Q1704" s="2">
        <f t="shared" si="60"/>
        <v>500</v>
      </c>
      <c r="T1704" s="11"/>
    </row>
    <row r="1705" spans="1:20" ht="11.85" customHeight="1" x14ac:dyDescent="0.2">
      <c r="A1705" s="3" t="s">
        <v>867</v>
      </c>
      <c r="C1705" s="2">
        <v>0</v>
      </c>
      <c r="E1705" s="2">
        <v>64.180000000000007</v>
      </c>
      <c r="G1705" s="2">
        <v>109.24</v>
      </c>
      <c r="I1705" s="2">
        <v>300</v>
      </c>
      <c r="K1705" s="2">
        <v>300</v>
      </c>
      <c r="L1705" s="9"/>
      <c r="M1705" s="2">
        <v>300</v>
      </c>
      <c r="N1705" s="9"/>
      <c r="O1705" s="2">
        <v>0</v>
      </c>
      <c r="P1705" s="9"/>
      <c r="Q1705" s="2">
        <f t="shared" si="60"/>
        <v>300</v>
      </c>
      <c r="T1705" s="11"/>
    </row>
    <row r="1706" spans="1:20" ht="11.85" customHeight="1" x14ac:dyDescent="0.2">
      <c r="A1706" s="3" t="s">
        <v>868</v>
      </c>
      <c r="C1706" s="2">
        <v>2744.82</v>
      </c>
      <c r="E1706" s="2">
        <v>4283.76</v>
      </c>
      <c r="G1706" s="2">
        <v>1216.5899999999999</v>
      </c>
      <c r="I1706" s="2">
        <v>1600</v>
      </c>
      <c r="K1706" s="2">
        <v>1600</v>
      </c>
      <c r="L1706" s="9"/>
      <c r="M1706" s="2">
        <v>1600</v>
      </c>
      <c r="N1706" s="9"/>
      <c r="O1706" s="2">
        <v>0</v>
      </c>
      <c r="P1706" s="9"/>
      <c r="Q1706" s="2">
        <f t="shared" si="60"/>
        <v>1600</v>
      </c>
      <c r="T1706" s="11"/>
    </row>
    <row r="1707" spans="1:20" ht="11.85" customHeight="1" x14ac:dyDescent="0.2">
      <c r="A1707" s="3" t="s">
        <v>869</v>
      </c>
      <c r="C1707" s="2">
        <v>67.67</v>
      </c>
      <c r="E1707" s="2">
        <v>0</v>
      </c>
      <c r="G1707" s="2">
        <v>0</v>
      </c>
      <c r="I1707" s="2">
        <v>300</v>
      </c>
      <c r="K1707" s="2">
        <v>300</v>
      </c>
      <c r="L1707" s="9"/>
      <c r="M1707" s="2">
        <v>300</v>
      </c>
      <c r="N1707" s="9"/>
      <c r="O1707" s="2">
        <v>0</v>
      </c>
      <c r="P1707" s="9"/>
      <c r="Q1707" s="2">
        <f t="shared" si="60"/>
        <v>300</v>
      </c>
      <c r="T1707" s="11"/>
    </row>
    <row r="1708" spans="1:20" ht="11.85" customHeight="1" x14ac:dyDescent="0.2">
      <c r="A1708" s="3" t="s">
        <v>870</v>
      </c>
      <c r="C1708" s="2">
        <v>300</v>
      </c>
      <c r="E1708" s="2">
        <v>400</v>
      </c>
      <c r="G1708" s="2">
        <v>300</v>
      </c>
      <c r="I1708" s="2">
        <v>400</v>
      </c>
      <c r="K1708" s="2">
        <v>400</v>
      </c>
      <c r="L1708" s="9"/>
      <c r="M1708" s="2">
        <v>400</v>
      </c>
      <c r="N1708" s="9"/>
      <c r="O1708" s="2">
        <v>0</v>
      </c>
      <c r="P1708" s="9"/>
      <c r="Q1708" s="2">
        <f t="shared" si="60"/>
        <v>400</v>
      </c>
      <c r="T1708" s="11"/>
    </row>
    <row r="1709" spans="1:20" ht="11.85" customHeight="1" x14ac:dyDescent="0.2">
      <c r="A1709" s="3" t="s">
        <v>871</v>
      </c>
      <c r="C1709" s="2">
        <v>80.069999999999993</v>
      </c>
      <c r="E1709" s="2">
        <v>0</v>
      </c>
      <c r="G1709" s="2">
        <v>0</v>
      </c>
      <c r="I1709" s="2">
        <v>60</v>
      </c>
      <c r="K1709" s="2">
        <v>60</v>
      </c>
      <c r="L1709" s="9"/>
      <c r="M1709" s="2">
        <v>60</v>
      </c>
      <c r="N1709" s="9"/>
      <c r="O1709" s="2">
        <v>0</v>
      </c>
      <c r="P1709" s="9"/>
      <c r="Q1709" s="2">
        <f t="shared" si="60"/>
        <v>60</v>
      </c>
      <c r="T1709" s="11"/>
    </row>
    <row r="1710" spans="1:20" ht="11.85" hidden="1" customHeight="1" x14ac:dyDescent="0.2">
      <c r="A1710" s="3" t="s">
        <v>872</v>
      </c>
      <c r="C1710" s="2">
        <v>0</v>
      </c>
      <c r="E1710" s="2">
        <v>0</v>
      </c>
      <c r="G1710" s="2">
        <v>0</v>
      </c>
      <c r="I1710" s="2">
        <v>0</v>
      </c>
      <c r="K1710" s="2">
        <v>0</v>
      </c>
      <c r="L1710" s="9"/>
      <c r="M1710" s="2">
        <v>0</v>
      </c>
      <c r="N1710" s="9"/>
      <c r="O1710" s="2">
        <v>0</v>
      </c>
      <c r="P1710" s="9"/>
      <c r="Q1710" s="2">
        <f t="shared" si="60"/>
        <v>0</v>
      </c>
      <c r="T1710" s="11"/>
    </row>
    <row r="1711" spans="1:20" ht="11.85" customHeight="1" x14ac:dyDescent="0.2">
      <c r="A1711" s="3" t="s">
        <v>873</v>
      </c>
      <c r="C1711" s="2">
        <v>301.98</v>
      </c>
      <c r="E1711" s="2">
        <v>281.32</v>
      </c>
      <c r="G1711" s="2">
        <v>110</v>
      </c>
      <c r="I1711" s="2">
        <v>300</v>
      </c>
      <c r="K1711" s="2">
        <v>300</v>
      </c>
      <c r="L1711" s="9"/>
      <c r="M1711" s="2">
        <v>300</v>
      </c>
      <c r="N1711" s="9"/>
      <c r="O1711" s="2">
        <v>0</v>
      </c>
      <c r="P1711" s="9"/>
      <c r="Q1711" s="2">
        <f t="shared" si="60"/>
        <v>300</v>
      </c>
      <c r="T1711" s="11"/>
    </row>
    <row r="1712" spans="1:20" ht="11.85" customHeight="1" x14ac:dyDescent="0.2">
      <c r="A1712" s="3" t="s">
        <v>874</v>
      </c>
      <c r="C1712" s="12">
        <v>1899.73</v>
      </c>
      <c r="E1712" s="12">
        <v>2025.05</v>
      </c>
      <c r="G1712" s="12">
        <v>1223.67</v>
      </c>
      <c r="I1712" s="12">
        <v>2000</v>
      </c>
      <c r="K1712" s="12">
        <v>2000</v>
      </c>
      <c r="L1712" s="9"/>
      <c r="M1712" s="12">
        <v>2000</v>
      </c>
      <c r="N1712" s="9"/>
      <c r="O1712" s="12">
        <v>0</v>
      </c>
      <c r="P1712" s="9"/>
      <c r="Q1712" s="12">
        <f t="shared" si="60"/>
        <v>2000</v>
      </c>
      <c r="T1712" s="11"/>
    </row>
    <row r="1713" spans="1:20" ht="11.85" hidden="1" customHeight="1" x14ac:dyDescent="0.2">
      <c r="A1713" s="3" t="s">
        <v>875</v>
      </c>
      <c r="C1713" s="12">
        <v>0</v>
      </c>
      <c r="E1713" s="12">
        <v>0</v>
      </c>
      <c r="G1713" s="12">
        <v>0</v>
      </c>
      <c r="I1713" s="12">
        <v>0</v>
      </c>
      <c r="K1713" s="12">
        <v>0</v>
      </c>
      <c r="L1713" s="9"/>
      <c r="M1713" s="12">
        <v>0</v>
      </c>
      <c r="N1713" s="9"/>
      <c r="O1713" s="12">
        <v>0</v>
      </c>
      <c r="P1713" s="9"/>
      <c r="Q1713" s="12">
        <f t="shared" si="60"/>
        <v>0</v>
      </c>
      <c r="T1713" s="11"/>
    </row>
    <row r="1714" spans="1:20" ht="11.85" customHeight="1" x14ac:dyDescent="0.2">
      <c r="A1714" s="3" t="s">
        <v>328</v>
      </c>
      <c r="C1714" s="2">
        <f>SUM(C1700:C1713)</f>
        <v>7669.98</v>
      </c>
      <c r="E1714" s="2">
        <f>SUM(E1700:E1713)</f>
        <v>9426.619999999999</v>
      </c>
      <c r="G1714" s="2">
        <f>SUM(G1700:G1713)</f>
        <v>6088.4699999999993</v>
      </c>
      <c r="I1714" s="2">
        <f>SUM(I1700:I1713)</f>
        <v>9160</v>
      </c>
      <c r="K1714" s="2">
        <f>SUM(K1700:K1713)</f>
        <v>9160</v>
      </c>
      <c r="L1714" s="9"/>
      <c r="M1714" s="2">
        <f>SUM(M1700:M1713)</f>
        <v>9160</v>
      </c>
      <c r="N1714" s="9"/>
      <c r="O1714" s="2">
        <f>SUM(O1700:O1713)</f>
        <v>0</v>
      </c>
      <c r="P1714" s="9"/>
      <c r="Q1714" s="2">
        <f>SUM(Q1700:Q1713)</f>
        <v>9160</v>
      </c>
      <c r="R1714" s="9"/>
      <c r="T1714" s="14"/>
    </row>
    <row r="1715" spans="1:20" ht="11.85" customHeight="1" x14ac:dyDescent="0.2">
      <c r="L1715" s="9"/>
      <c r="N1715" s="9"/>
      <c r="P1715" s="9"/>
    </row>
    <row r="1716" spans="1:20" ht="11.85" customHeight="1" x14ac:dyDescent="0.2">
      <c r="A1716" s="3" t="s">
        <v>876</v>
      </c>
      <c r="C1716" s="2">
        <v>0</v>
      </c>
      <c r="E1716" s="2">
        <v>0</v>
      </c>
      <c r="G1716" s="2">
        <v>0</v>
      </c>
      <c r="I1716" s="2">
        <v>0</v>
      </c>
      <c r="K1716" s="2">
        <v>0</v>
      </c>
      <c r="L1716" s="9"/>
      <c r="M1716" s="2">
        <v>0</v>
      </c>
      <c r="N1716" s="9"/>
      <c r="O1716" s="2">
        <v>0</v>
      </c>
      <c r="P1716" s="9"/>
      <c r="Q1716" s="2">
        <f>M1716+O1716</f>
        <v>0</v>
      </c>
      <c r="T1716" s="11"/>
    </row>
    <row r="1717" spans="1:20" ht="11.85" customHeight="1" x14ac:dyDescent="0.2">
      <c r="A1717" s="3" t="s">
        <v>877</v>
      </c>
      <c r="C1717" s="12">
        <v>0</v>
      </c>
      <c r="E1717" s="12">
        <v>0</v>
      </c>
      <c r="G1717" s="12">
        <v>0</v>
      </c>
      <c r="I1717" s="12">
        <v>0</v>
      </c>
      <c r="K1717" s="12">
        <v>0</v>
      </c>
      <c r="L1717" s="9"/>
      <c r="M1717" s="12">
        <v>0</v>
      </c>
      <c r="N1717" s="9"/>
      <c r="O1717" s="12">
        <v>0</v>
      </c>
      <c r="P1717" s="9"/>
      <c r="Q1717" s="12">
        <f>M1717+O1717</f>
        <v>0</v>
      </c>
      <c r="T1717" s="11"/>
    </row>
    <row r="1718" spans="1:20" ht="11.85" customHeight="1" x14ac:dyDescent="0.2">
      <c r="A1718" s="3" t="s">
        <v>331</v>
      </c>
      <c r="C1718" s="2">
        <f>SUM(C1716:C1717)</f>
        <v>0</v>
      </c>
      <c r="E1718" s="2">
        <f>SUM(E1716:E1717)</f>
        <v>0</v>
      </c>
      <c r="G1718" s="2">
        <f>SUM(G1716:G1717)</f>
        <v>0</v>
      </c>
      <c r="I1718" s="2">
        <f>SUM(I1716:I1717)</f>
        <v>0</v>
      </c>
      <c r="K1718" s="2">
        <f>SUM(K1716:K1717)</f>
        <v>0</v>
      </c>
      <c r="L1718" s="9"/>
      <c r="M1718" s="2">
        <f>SUM(M1716:M1717)</f>
        <v>0</v>
      </c>
      <c r="N1718" s="9"/>
      <c r="O1718" s="2">
        <f>SUM(O1716:O1717)</f>
        <v>0</v>
      </c>
      <c r="P1718" s="9"/>
      <c r="Q1718" s="2">
        <f>SUM(Q1716:Q1717)</f>
        <v>0</v>
      </c>
    </row>
    <row r="1719" spans="1:20" ht="11.85" customHeight="1" x14ac:dyDescent="0.2">
      <c r="L1719" s="9"/>
      <c r="N1719" s="9"/>
      <c r="P1719" s="9"/>
    </row>
    <row r="1720" spans="1:20" ht="11.85" customHeight="1" x14ac:dyDescent="0.2">
      <c r="A1720" s="3" t="s">
        <v>878</v>
      </c>
      <c r="C1720" s="2">
        <f>C1688+C1697+C1714+C1718</f>
        <v>72612.31</v>
      </c>
      <c r="E1720" s="2">
        <f>E1688+E1697+E1714+E1718</f>
        <v>72706.12</v>
      </c>
      <c r="G1720" s="2">
        <f>G1688+G1697+G1714+G1718</f>
        <v>71010.02</v>
      </c>
      <c r="I1720" s="2">
        <f>I1688+I1697+I1714+I1718</f>
        <v>77045</v>
      </c>
      <c r="K1720" s="2">
        <f>K1688+K1697+K1714+K1718</f>
        <v>74838</v>
      </c>
      <c r="L1720" s="9"/>
      <c r="M1720" s="2">
        <f>M1688+M1697+M1714+M1718</f>
        <v>79204</v>
      </c>
      <c r="N1720" s="9"/>
      <c r="O1720" s="2">
        <f>O1688+O1697+O1714+O1718</f>
        <v>0</v>
      </c>
      <c r="P1720" s="9"/>
      <c r="Q1720" s="2">
        <f>Q1688+Q1697+Q1714+Q1718</f>
        <v>79204</v>
      </c>
      <c r="T1720" s="11"/>
    </row>
    <row r="1721" spans="1:20" ht="11.85" customHeight="1" x14ac:dyDescent="0.2">
      <c r="L1721" s="9"/>
      <c r="N1721" s="9"/>
      <c r="P1721" s="9"/>
    </row>
    <row r="1722" spans="1:20" ht="11.85" customHeight="1" x14ac:dyDescent="0.2">
      <c r="L1722" s="9"/>
      <c r="N1722" s="9"/>
      <c r="P1722" s="9"/>
    </row>
    <row r="1723" spans="1:20" ht="11.85" customHeight="1" x14ac:dyDescent="0.2">
      <c r="L1723" s="9"/>
      <c r="N1723" s="9"/>
      <c r="P1723" s="9"/>
    </row>
    <row r="1724" spans="1:20" ht="11.85" customHeight="1" x14ac:dyDescent="0.2">
      <c r="L1724" s="9"/>
      <c r="N1724" s="9"/>
      <c r="P1724" s="9"/>
    </row>
    <row r="1725" spans="1:20" ht="11.85" customHeight="1" x14ac:dyDescent="0.2">
      <c r="L1725" s="9"/>
      <c r="N1725" s="9"/>
      <c r="P1725" s="9"/>
    </row>
    <row r="1726" spans="1:20" ht="11.85" customHeight="1" x14ac:dyDescent="0.2">
      <c r="L1726" s="9"/>
      <c r="N1726" s="9"/>
      <c r="P1726" s="9"/>
    </row>
    <row r="1727" spans="1:20" ht="11.85" customHeight="1" x14ac:dyDescent="0.2">
      <c r="L1727" s="9"/>
      <c r="N1727" s="9"/>
      <c r="P1727" s="9"/>
    </row>
    <row r="1728" spans="1:20" ht="11.85" customHeight="1" x14ac:dyDescent="0.2">
      <c r="L1728" s="9"/>
      <c r="N1728" s="9"/>
      <c r="P1728" s="9"/>
    </row>
    <row r="1729" spans="1:17" ht="11.85" customHeight="1" x14ac:dyDescent="0.2">
      <c r="L1729" s="9"/>
      <c r="N1729" s="9"/>
      <c r="P1729" s="9"/>
    </row>
    <row r="1730" spans="1:17" ht="11.85" customHeight="1" x14ac:dyDescent="0.2">
      <c r="L1730" s="9"/>
      <c r="N1730" s="9"/>
      <c r="P1730" s="9"/>
    </row>
    <row r="1731" spans="1:17" ht="11.85" customHeight="1" x14ac:dyDescent="0.2">
      <c r="L1731" s="9"/>
      <c r="N1731" s="9"/>
      <c r="P1731" s="9"/>
    </row>
    <row r="1732" spans="1:17" ht="11.85" customHeight="1" x14ac:dyDescent="0.2">
      <c r="L1732" s="9"/>
      <c r="N1732" s="9"/>
      <c r="P1732" s="9"/>
    </row>
    <row r="1733" spans="1:17" ht="11.85" customHeight="1" x14ac:dyDescent="0.2">
      <c r="L1733" s="9"/>
      <c r="N1733" s="9"/>
      <c r="P1733" s="9"/>
    </row>
    <row r="1734" spans="1:17" ht="11.85" customHeight="1" x14ac:dyDescent="0.2">
      <c r="L1734" s="9"/>
      <c r="N1734" s="9"/>
      <c r="P1734" s="9"/>
    </row>
    <row r="1735" spans="1:17" ht="11.85" customHeight="1" x14ac:dyDescent="0.2">
      <c r="A1735" s="1"/>
      <c r="B1735" s="1"/>
      <c r="E1735" s="2" t="str">
        <f>$E$1</f>
        <v>CITY OF BRADY</v>
      </c>
    </row>
    <row r="1736" spans="1:17" ht="11.85" customHeight="1" x14ac:dyDescent="0.2">
      <c r="E1736" s="2" t="str">
        <f>$E$2</f>
        <v>BUDGET REPORT</v>
      </c>
    </row>
    <row r="1737" spans="1:17" ht="11.85" customHeight="1" x14ac:dyDescent="0.2">
      <c r="E1737" s="2" t="str">
        <f>$E$3</f>
        <v>FISCAL YEAR 2024 - 2025</v>
      </c>
    </row>
    <row r="1738" spans="1:17" ht="11.85" customHeight="1" x14ac:dyDescent="0.2">
      <c r="A1738" s="3" t="s">
        <v>3</v>
      </c>
    </row>
    <row r="1739" spans="1:17" ht="11.85" customHeight="1" x14ac:dyDescent="0.2">
      <c r="A1739" s="3" t="s">
        <v>879</v>
      </c>
    </row>
    <row r="1740" spans="1:17" ht="11.85" customHeight="1" x14ac:dyDescent="0.2">
      <c r="I1740" s="53" t="str">
        <f>$I$6</f>
        <v>(----- 2023-2024------)</v>
      </c>
      <c r="J1740" s="53"/>
      <c r="K1740" s="53"/>
      <c r="L1740" s="6"/>
      <c r="M1740" s="54" t="str">
        <f>$M$6</f>
        <v>2024-2025</v>
      </c>
      <c r="N1740" s="54"/>
      <c r="O1740" s="54"/>
      <c r="P1740" s="54"/>
      <c r="Q1740" s="54"/>
    </row>
    <row r="1741" spans="1:17" ht="11.85" customHeight="1" x14ac:dyDescent="0.2">
      <c r="C1741" s="5" t="str">
        <f>$C$7</f>
        <v>2020-2021</v>
      </c>
      <c r="D1741" s="5"/>
      <c r="E1741" s="5" t="str">
        <f>$E$7</f>
        <v>2021-2022</v>
      </c>
      <c r="F1741" s="5"/>
      <c r="G1741" s="5" t="str">
        <f>$G$7</f>
        <v>2022-2023</v>
      </c>
      <c r="H1741" s="5"/>
      <c r="I1741" s="5" t="s">
        <v>9</v>
      </c>
      <c r="J1741" s="5"/>
      <c r="K1741" s="5" t="str">
        <f>+$K$7</f>
        <v>PROJECTED</v>
      </c>
      <c r="L1741" s="6"/>
      <c r="M1741" s="5">
        <f>$M$7</f>
        <v>0</v>
      </c>
      <c r="N1741" s="6"/>
      <c r="O1741" s="5" t="str">
        <f>$O$7</f>
        <v>2024-2025</v>
      </c>
      <c r="P1741" s="6"/>
      <c r="Q1741" s="5" t="str">
        <f>$Q$7</f>
        <v>APPROVED</v>
      </c>
    </row>
    <row r="1742" spans="1:17" ht="11.85" customHeight="1" x14ac:dyDescent="0.2">
      <c r="A1742" s="7" t="s">
        <v>273</v>
      </c>
      <c r="C1742" s="8" t="s">
        <v>12</v>
      </c>
      <c r="D1742" s="5"/>
      <c r="E1742" s="8" t="s">
        <v>12</v>
      </c>
      <c r="F1742" s="5"/>
      <c r="G1742" s="8" t="s">
        <v>12</v>
      </c>
      <c r="H1742" s="5"/>
      <c r="I1742" s="8" t="s">
        <v>13</v>
      </c>
      <c r="J1742" s="5"/>
      <c r="K1742" s="8" t="s">
        <v>13</v>
      </c>
      <c r="L1742" s="6"/>
      <c r="M1742" s="8" t="str">
        <f>$M$8</f>
        <v>BASE</v>
      </c>
      <c r="N1742" s="6"/>
      <c r="O1742" s="8" t="str">
        <f>$O$8</f>
        <v>SUPPLEMENTAL</v>
      </c>
      <c r="P1742" s="6"/>
      <c r="Q1742" s="8" t="str">
        <f>$Q$8</f>
        <v>BUDGET</v>
      </c>
    </row>
    <row r="1743" spans="1:17" ht="11.85" customHeight="1" x14ac:dyDescent="0.2"/>
    <row r="1744" spans="1:17" ht="11.85" customHeight="1" x14ac:dyDescent="0.2">
      <c r="A1744" s="10" t="s">
        <v>274</v>
      </c>
    </row>
    <row r="1745" spans="1:21" ht="11.85" customHeight="1" x14ac:dyDescent="0.2">
      <c r="A1745" s="3" t="s">
        <v>880</v>
      </c>
      <c r="C1745" s="2">
        <v>57062.89</v>
      </c>
      <c r="E1745" s="2">
        <v>56834.19</v>
      </c>
      <c r="G1745" s="2">
        <v>53649.24</v>
      </c>
      <c r="I1745" s="2">
        <v>60362</v>
      </c>
      <c r="K1745" s="2">
        <v>60362</v>
      </c>
      <c r="L1745" s="9"/>
      <c r="M1745" s="2">
        <v>58992</v>
      </c>
      <c r="N1745" s="9"/>
      <c r="O1745" s="2">
        <v>0</v>
      </c>
      <c r="P1745" s="9"/>
      <c r="Q1745" s="2">
        <f t="shared" ref="Q1745:Q1753" si="61">M1745+O1745</f>
        <v>58992</v>
      </c>
      <c r="T1745" s="11"/>
    </row>
    <row r="1746" spans="1:21" ht="11.85" customHeight="1" x14ac:dyDescent="0.2">
      <c r="A1746" s="3" t="s">
        <v>881</v>
      </c>
      <c r="C1746" s="2">
        <v>2093.48</v>
      </c>
      <c r="E1746" s="2">
        <v>955.04</v>
      </c>
      <c r="G1746" s="2">
        <v>434.8</v>
      </c>
      <c r="I1746" s="2">
        <v>2500</v>
      </c>
      <c r="K1746" s="2">
        <v>2500</v>
      </c>
      <c r="L1746" s="9"/>
      <c r="M1746" s="2">
        <v>1000</v>
      </c>
      <c r="N1746" s="9"/>
      <c r="O1746" s="2">
        <v>0</v>
      </c>
      <c r="P1746" s="9"/>
      <c r="Q1746" s="2">
        <f t="shared" si="61"/>
        <v>1000</v>
      </c>
      <c r="T1746" s="11"/>
    </row>
    <row r="1747" spans="1:21" ht="11.85" customHeight="1" x14ac:dyDescent="0.2">
      <c r="A1747" s="3" t="s">
        <v>882</v>
      </c>
      <c r="C1747" s="2">
        <v>0</v>
      </c>
      <c r="E1747" s="2">
        <v>0</v>
      </c>
      <c r="G1747" s="2">
        <v>0</v>
      </c>
      <c r="I1747" s="2">
        <v>900</v>
      </c>
      <c r="K1747" s="2">
        <v>900</v>
      </c>
      <c r="L1747" s="9"/>
      <c r="M1747" s="2">
        <v>0</v>
      </c>
      <c r="N1747" s="9"/>
      <c r="O1747" s="2">
        <v>0</v>
      </c>
      <c r="P1747" s="9"/>
      <c r="Q1747" s="2">
        <f t="shared" si="61"/>
        <v>0</v>
      </c>
      <c r="T1747" s="11"/>
    </row>
    <row r="1748" spans="1:21" ht="11.85" customHeight="1" x14ac:dyDescent="0.2">
      <c r="A1748" s="3" t="s">
        <v>883</v>
      </c>
      <c r="C1748" s="2">
        <v>3770</v>
      </c>
      <c r="E1748" s="2">
        <v>3470</v>
      </c>
      <c r="G1748" s="2">
        <v>2420</v>
      </c>
      <c r="I1748" s="2">
        <v>3640</v>
      </c>
      <c r="K1748" s="2">
        <v>3640</v>
      </c>
      <c r="L1748" s="9"/>
      <c r="M1748" s="2">
        <v>2860</v>
      </c>
      <c r="N1748" s="9"/>
      <c r="O1748" s="2">
        <v>0</v>
      </c>
      <c r="P1748" s="9"/>
      <c r="Q1748" s="2">
        <f t="shared" si="61"/>
        <v>2860</v>
      </c>
      <c r="T1748" s="11"/>
    </row>
    <row r="1749" spans="1:21" ht="11.85" customHeight="1" x14ac:dyDescent="0.2">
      <c r="A1749" s="3" t="s">
        <v>884</v>
      </c>
      <c r="C1749" s="2">
        <v>23109.64</v>
      </c>
      <c r="E1749" s="2">
        <v>21139.19</v>
      </c>
      <c r="G1749" s="2">
        <v>10938.49</v>
      </c>
      <c r="I1749" s="2">
        <v>11460</v>
      </c>
      <c r="K1749" s="2">
        <f>11460-2207</f>
        <v>9253</v>
      </c>
      <c r="L1749" s="9"/>
      <c r="M1749" s="2">
        <v>10141</v>
      </c>
      <c r="N1749" s="9"/>
      <c r="O1749" s="2">
        <v>0</v>
      </c>
      <c r="P1749" s="9"/>
      <c r="Q1749" s="2">
        <f t="shared" si="61"/>
        <v>10141</v>
      </c>
      <c r="T1749" s="11"/>
    </row>
    <row r="1750" spans="1:21" ht="11.85" customHeight="1" x14ac:dyDescent="0.2">
      <c r="A1750" s="3" t="s">
        <v>885</v>
      </c>
      <c r="C1750" s="2">
        <v>6260.61</v>
      </c>
      <c r="E1750" s="2">
        <v>5891.44</v>
      </c>
      <c r="G1750" s="2">
        <v>3736.91</v>
      </c>
      <c r="I1750" s="2">
        <v>3996</v>
      </c>
      <c r="K1750" s="2">
        <v>3996</v>
      </c>
      <c r="L1750" s="9"/>
      <c r="M1750" s="2">
        <v>3751</v>
      </c>
      <c r="N1750" s="9"/>
      <c r="O1750" s="2">
        <v>0</v>
      </c>
      <c r="P1750" s="9"/>
      <c r="Q1750" s="2">
        <f t="shared" si="61"/>
        <v>3751</v>
      </c>
      <c r="T1750" s="11"/>
    </row>
    <row r="1751" spans="1:21" ht="11.85" customHeight="1" x14ac:dyDescent="0.2">
      <c r="A1751" s="3" t="s">
        <v>886</v>
      </c>
      <c r="C1751" s="2">
        <v>2085.8200000000002</v>
      </c>
      <c r="E1751" s="2">
        <v>2188.5500000000002</v>
      </c>
      <c r="G1751" s="2">
        <v>2116.65</v>
      </c>
      <c r="I1751" s="2">
        <v>2297</v>
      </c>
      <c r="K1751" s="2">
        <v>2297</v>
      </c>
      <c r="L1751" s="9"/>
      <c r="M1751" s="2">
        <v>1606</v>
      </c>
      <c r="N1751" s="9"/>
      <c r="O1751" s="2">
        <v>0</v>
      </c>
      <c r="P1751" s="9"/>
      <c r="Q1751" s="2">
        <f t="shared" si="61"/>
        <v>1606</v>
      </c>
      <c r="T1751" s="11"/>
    </row>
    <row r="1752" spans="1:21" ht="11.85" customHeight="1" x14ac:dyDescent="0.2">
      <c r="A1752" s="3" t="s">
        <v>887</v>
      </c>
      <c r="C1752" s="2">
        <v>504</v>
      </c>
      <c r="E1752" s="2">
        <v>19.91</v>
      </c>
      <c r="G1752" s="2">
        <v>23.7</v>
      </c>
      <c r="I1752" s="2">
        <v>251</v>
      </c>
      <c r="K1752" s="2">
        <v>251</v>
      </c>
      <c r="L1752" s="9"/>
      <c r="M1752" s="2">
        <v>270</v>
      </c>
      <c r="N1752" s="9"/>
      <c r="O1752" s="2">
        <v>0</v>
      </c>
      <c r="P1752" s="9"/>
      <c r="Q1752" s="2">
        <f t="shared" si="61"/>
        <v>270</v>
      </c>
      <c r="T1752" s="11"/>
    </row>
    <row r="1753" spans="1:21" ht="11.85" customHeight="1" x14ac:dyDescent="0.2">
      <c r="A1753" s="3" t="s">
        <v>888</v>
      </c>
      <c r="C1753" s="12">
        <v>4638.01</v>
      </c>
      <c r="E1753" s="12">
        <v>4862.0600000000004</v>
      </c>
      <c r="G1753" s="12">
        <v>4322.57</v>
      </c>
      <c r="I1753" s="12">
        <v>4903</v>
      </c>
      <c r="K1753" s="12">
        <v>4903</v>
      </c>
      <c r="L1753" s="9"/>
      <c r="M1753" s="12">
        <v>4679</v>
      </c>
      <c r="N1753" s="9"/>
      <c r="O1753" s="12">
        <v>0</v>
      </c>
      <c r="P1753" s="9"/>
      <c r="Q1753" s="12">
        <f t="shared" si="61"/>
        <v>4679</v>
      </c>
      <c r="T1753" s="11"/>
    </row>
    <row r="1754" spans="1:21" ht="11.85" customHeight="1" x14ac:dyDescent="0.2">
      <c r="A1754" s="3" t="s">
        <v>285</v>
      </c>
      <c r="C1754" s="2">
        <f>SUM(C1745:C1753)</f>
        <v>99524.450000000012</v>
      </c>
      <c r="E1754" s="2">
        <f>SUM(E1745:E1753)</f>
        <v>95360.38</v>
      </c>
      <c r="G1754" s="2">
        <f>SUM(G1745:G1753)</f>
        <v>77642.359999999986</v>
      </c>
      <c r="I1754" s="2">
        <f>SUM(I1745:I1753)</f>
        <v>90309</v>
      </c>
      <c r="K1754" s="2">
        <f>SUM(K1745:K1753)</f>
        <v>88102</v>
      </c>
      <c r="L1754" s="9"/>
      <c r="M1754" s="2">
        <f>SUM(M1745:M1753)</f>
        <v>83299</v>
      </c>
      <c r="N1754" s="9"/>
      <c r="O1754" s="2">
        <f>SUM(O1745:O1753)</f>
        <v>0</v>
      </c>
      <c r="P1754" s="9"/>
      <c r="Q1754" s="2">
        <f>SUM(Q1745:Q1753)</f>
        <v>83299</v>
      </c>
      <c r="R1754" s="2"/>
      <c r="T1754" s="14"/>
      <c r="U1754" s="9"/>
    </row>
    <row r="1755" spans="1:21" ht="11.85" customHeight="1" x14ac:dyDescent="0.2">
      <c r="L1755" s="9"/>
      <c r="N1755" s="9"/>
      <c r="P1755" s="9"/>
    </row>
    <row r="1756" spans="1:21" ht="11.85" customHeight="1" x14ac:dyDescent="0.2">
      <c r="A1756" s="10" t="s">
        <v>286</v>
      </c>
      <c r="L1756" s="9"/>
      <c r="N1756" s="9"/>
      <c r="P1756" s="9"/>
    </row>
    <row r="1757" spans="1:21" ht="11.85" customHeight="1" x14ac:dyDescent="0.2">
      <c r="A1757" s="3" t="s">
        <v>889</v>
      </c>
      <c r="C1757" s="2">
        <v>0</v>
      </c>
      <c r="E1757" s="2">
        <v>0</v>
      </c>
      <c r="G1757" s="2">
        <v>0</v>
      </c>
      <c r="I1757" s="2">
        <v>0</v>
      </c>
      <c r="K1757" s="2">
        <v>0</v>
      </c>
      <c r="L1757" s="9"/>
      <c r="M1757" s="2">
        <v>0</v>
      </c>
      <c r="N1757" s="9"/>
      <c r="O1757" s="2">
        <v>0</v>
      </c>
      <c r="P1757" s="9"/>
      <c r="Q1757" s="2">
        <f t="shared" ref="Q1757:Q1768" si="62">M1757+O1757</f>
        <v>0</v>
      </c>
      <c r="T1757" s="11"/>
    </row>
    <row r="1758" spans="1:21" ht="11.85" customHeight="1" x14ac:dyDescent="0.2">
      <c r="A1758" s="3" t="s">
        <v>890</v>
      </c>
      <c r="C1758" s="2">
        <v>5736.38</v>
      </c>
      <c r="E1758" s="2">
        <v>1911.21</v>
      </c>
      <c r="G1758" s="2">
        <v>3118.96</v>
      </c>
      <c r="I1758" s="2">
        <v>6000</v>
      </c>
      <c r="K1758" s="2">
        <v>6000</v>
      </c>
      <c r="L1758" s="9"/>
      <c r="M1758" s="2">
        <v>7000</v>
      </c>
      <c r="N1758" s="9"/>
      <c r="O1758" s="2">
        <v>0</v>
      </c>
      <c r="P1758" s="9"/>
      <c r="Q1758" s="2">
        <f t="shared" si="62"/>
        <v>7000</v>
      </c>
      <c r="T1758" s="11"/>
    </row>
    <row r="1759" spans="1:21" ht="11.85" customHeight="1" x14ac:dyDescent="0.2">
      <c r="A1759" s="3" t="s">
        <v>891</v>
      </c>
      <c r="C1759" s="2">
        <v>0</v>
      </c>
      <c r="E1759" s="2">
        <v>0</v>
      </c>
      <c r="G1759" s="2">
        <v>0</v>
      </c>
      <c r="I1759" s="2">
        <v>0</v>
      </c>
      <c r="K1759" s="2">
        <v>0</v>
      </c>
      <c r="L1759" s="9"/>
      <c r="M1759" s="2">
        <v>0</v>
      </c>
      <c r="N1759" s="9"/>
      <c r="O1759" s="2">
        <v>0</v>
      </c>
      <c r="P1759" s="9"/>
      <c r="Q1759" s="2">
        <f t="shared" si="62"/>
        <v>0</v>
      </c>
      <c r="T1759" s="11"/>
    </row>
    <row r="1760" spans="1:21" ht="11.85" customHeight="1" x14ac:dyDescent="0.2">
      <c r="A1760" s="3" t="s">
        <v>892</v>
      </c>
      <c r="C1760" s="2">
        <v>0</v>
      </c>
      <c r="E1760" s="2">
        <v>0</v>
      </c>
      <c r="G1760" s="2">
        <v>0</v>
      </c>
      <c r="I1760" s="2">
        <v>0</v>
      </c>
      <c r="K1760" s="2">
        <v>0</v>
      </c>
      <c r="L1760" s="9"/>
      <c r="M1760" s="2">
        <v>0</v>
      </c>
      <c r="N1760" s="9"/>
      <c r="O1760" s="2">
        <v>0</v>
      </c>
      <c r="P1760" s="9"/>
      <c r="Q1760" s="2">
        <f t="shared" si="62"/>
        <v>0</v>
      </c>
      <c r="T1760" s="11"/>
    </row>
    <row r="1761" spans="1:20" ht="11.85" hidden="1" customHeight="1" x14ac:dyDescent="0.2">
      <c r="A1761" s="3" t="s">
        <v>893</v>
      </c>
      <c r="C1761" s="2">
        <v>0</v>
      </c>
      <c r="E1761" s="2">
        <v>0</v>
      </c>
      <c r="G1761" s="2">
        <v>0</v>
      </c>
      <c r="I1761" s="2">
        <v>0</v>
      </c>
      <c r="K1761" s="2">
        <v>0</v>
      </c>
      <c r="L1761" s="9"/>
      <c r="M1761" s="2">
        <v>0</v>
      </c>
      <c r="N1761" s="9"/>
      <c r="O1761" s="2">
        <v>0</v>
      </c>
      <c r="P1761" s="9"/>
      <c r="Q1761" s="2">
        <f t="shared" si="62"/>
        <v>0</v>
      </c>
      <c r="T1761" s="11"/>
    </row>
    <row r="1762" spans="1:20" ht="11.85" customHeight="1" x14ac:dyDescent="0.2">
      <c r="A1762" s="3" t="s">
        <v>894</v>
      </c>
      <c r="C1762" s="2">
        <v>0</v>
      </c>
      <c r="E1762" s="2">
        <v>3799.61</v>
      </c>
      <c r="G1762" s="2">
        <v>1571</v>
      </c>
      <c r="I1762" s="2">
        <v>1400</v>
      </c>
      <c r="K1762" s="2">
        <v>1400</v>
      </c>
      <c r="L1762" s="9"/>
      <c r="M1762" s="2">
        <v>1400</v>
      </c>
      <c r="N1762" s="9"/>
      <c r="O1762" s="2">
        <v>0</v>
      </c>
      <c r="P1762" s="9"/>
      <c r="Q1762" s="2">
        <f t="shared" si="62"/>
        <v>1400</v>
      </c>
      <c r="T1762" s="11"/>
    </row>
    <row r="1763" spans="1:20" ht="11.85" customHeight="1" x14ac:dyDescent="0.2">
      <c r="A1763" s="3" t="s">
        <v>895</v>
      </c>
      <c r="C1763" s="2">
        <v>0</v>
      </c>
      <c r="E1763" s="2">
        <v>0</v>
      </c>
      <c r="G1763" s="2">
        <v>0</v>
      </c>
      <c r="I1763" s="2">
        <v>0</v>
      </c>
      <c r="K1763" s="2">
        <v>0</v>
      </c>
      <c r="L1763" s="9"/>
      <c r="M1763" s="2">
        <v>0</v>
      </c>
      <c r="N1763" s="9"/>
      <c r="O1763" s="2">
        <v>0</v>
      </c>
      <c r="P1763" s="9"/>
      <c r="Q1763" s="2">
        <f t="shared" si="62"/>
        <v>0</v>
      </c>
      <c r="T1763" s="11"/>
    </row>
    <row r="1764" spans="1:20" ht="11.85" customHeight="1" x14ac:dyDescent="0.2">
      <c r="A1764" s="3" t="s">
        <v>896</v>
      </c>
      <c r="C1764" s="2">
        <v>7583.33</v>
      </c>
      <c r="E1764" s="2">
        <v>0</v>
      </c>
      <c r="G1764" s="2">
        <v>0</v>
      </c>
      <c r="I1764" s="2">
        <v>0</v>
      </c>
      <c r="K1764" s="2">
        <v>0</v>
      </c>
      <c r="L1764" s="9"/>
      <c r="M1764" s="2">
        <v>0</v>
      </c>
      <c r="N1764" s="9"/>
      <c r="O1764" s="2">
        <v>0</v>
      </c>
      <c r="P1764" s="9"/>
      <c r="Q1764" s="2">
        <f t="shared" si="62"/>
        <v>0</v>
      </c>
      <c r="T1764" s="11"/>
    </row>
    <row r="1765" spans="1:20" ht="11.85" customHeight="1" x14ac:dyDescent="0.2">
      <c r="A1765" s="3" t="s">
        <v>897</v>
      </c>
      <c r="C1765" s="2">
        <v>0</v>
      </c>
      <c r="E1765" s="2">
        <v>0</v>
      </c>
      <c r="G1765" s="2">
        <v>0</v>
      </c>
      <c r="I1765" s="2">
        <v>0</v>
      </c>
      <c r="K1765" s="2">
        <v>0</v>
      </c>
      <c r="L1765" s="9"/>
      <c r="M1765" s="2">
        <v>0</v>
      </c>
      <c r="N1765" s="9"/>
      <c r="O1765" s="2">
        <v>0</v>
      </c>
      <c r="P1765" s="9"/>
      <c r="Q1765" s="2">
        <f t="shared" si="62"/>
        <v>0</v>
      </c>
      <c r="T1765" s="11"/>
    </row>
    <row r="1766" spans="1:20" ht="11.85" customHeight="1" x14ac:dyDescent="0.2">
      <c r="A1766" s="3" t="s">
        <v>898</v>
      </c>
      <c r="C1766" s="2">
        <v>1283.22</v>
      </c>
      <c r="E1766" s="2">
        <v>1493.92</v>
      </c>
      <c r="G1766" s="2">
        <v>5435.7</v>
      </c>
      <c r="I1766" s="2">
        <v>4000</v>
      </c>
      <c r="K1766" s="2">
        <v>4000</v>
      </c>
      <c r="L1766" s="9"/>
      <c r="M1766" s="2">
        <v>4500</v>
      </c>
      <c r="N1766" s="9"/>
      <c r="O1766" s="2">
        <v>0</v>
      </c>
      <c r="P1766" s="9"/>
      <c r="Q1766" s="2">
        <f t="shared" si="62"/>
        <v>4500</v>
      </c>
      <c r="T1766" s="11"/>
    </row>
    <row r="1767" spans="1:20" ht="11.85" customHeight="1" x14ac:dyDescent="0.2">
      <c r="A1767" s="3" t="s">
        <v>899</v>
      </c>
      <c r="C1767" s="2">
        <v>0</v>
      </c>
      <c r="E1767" s="2">
        <v>0</v>
      </c>
      <c r="G1767" s="2">
        <v>0</v>
      </c>
      <c r="I1767" s="2">
        <v>600</v>
      </c>
      <c r="K1767" s="2">
        <v>600</v>
      </c>
      <c r="L1767" s="9"/>
      <c r="M1767" s="2">
        <v>600</v>
      </c>
      <c r="N1767" s="9"/>
      <c r="O1767" s="2">
        <v>0</v>
      </c>
      <c r="P1767" s="9"/>
      <c r="Q1767" s="2">
        <f t="shared" si="62"/>
        <v>600</v>
      </c>
      <c r="T1767" s="11"/>
    </row>
    <row r="1768" spans="1:20" ht="11.85" customHeight="1" x14ac:dyDescent="0.2">
      <c r="A1768" s="3" t="s">
        <v>900</v>
      </c>
      <c r="C1768" s="12">
        <v>0</v>
      </c>
      <c r="E1768" s="12">
        <v>0</v>
      </c>
      <c r="G1768" s="12">
        <v>0</v>
      </c>
      <c r="I1768" s="12">
        <v>500</v>
      </c>
      <c r="K1768" s="12">
        <v>500</v>
      </c>
      <c r="L1768" s="9"/>
      <c r="M1768" s="12">
        <v>500</v>
      </c>
      <c r="N1768" s="9"/>
      <c r="O1768" s="12">
        <v>0</v>
      </c>
      <c r="P1768" s="9"/>
      <c r="Q1768" s="12">
        <f t="shared" si="62"/>
        <v>500</v>
      </c>
      <c r="T1768" s="11"/>
    </row>
    <row r="1769" spans="1:20" ht="11.85" customHeight="1" x14ac:dyDescent="0.2">
      <c r="A1769" s="3" t="s">
        <v>304</v>
      </c>
      <c r="C1769" s="2">
        <f>SUM(C1757:C1768)</f>
        <v>14602.929999999998</v>
      </c>
      <c r="E1769" s="2">
        <f>SUM(E1757:E1768)</f>
        <v>7204.74</v>
      </c>
      <c r="G1769" s="2">
        <f>SUM(G1757:G1768)</f>
        <v>10125.66</v>
      </c>
      <c r="I1769" s="2">
        <f>SUM(I1757:I1768)</f>
        <v>12500</v>
      </c>
      <c r="K1769" s="2">
        <f>SUM(K1757:K1768)</f>
        <v>12500</v>
      </c>
      <c r="L1769" s="9"/>
      <c r="M1769" s="2">
        <f>SUM(M1757:M1768)</f>
        <v>14000</v>
      </c>
      <c r="N1769" s="9"/>
      <c r="O1769" s="2">
        <f>SUM(O1757:O1768)</f>
        <v>0</v>
      </c>
      <c r="P1769" s="9"/>
      <c r="Q1769" s="2">
        <f>SUM(Q1757:Q1768)</f>
        <v>14000</v>
      </c>
      <c r="T1769" s="14"/>
    </row>
    <row r="1770" spans="1:20" ht="11.85" customHeight="1" x14ac:dyDescent="0.2">
      <c r="L1770" s="9"/>
      <c r="N1770" s="9"/>
      <c r="P1770" s="9"/>
    </row>
    <row r="1771" spans="1:20" ht="11.85" customHeight="1" x14ac:dyDescent="0.2">
      <c r="A1771" s="10" t="s">
        <v>305</v>
      </c>
      <c r="L1771" s="9"/>
      <c r="N1771" s="9"/>
      <c r="P1771" s="9"/>
    </row>
    <row r="1772" spans="1:20" ht="11.85" customHeight="1" x14ac:dyDescent="0.2">
      <c r="A1772" s="3" t="s">
        <v>901</v>
      </c>
      <c r="C1772" s="2">
        <v>0</v>
      </c>
      <c r="E1772" s="2">
        <v>378.31</v>
      </c>
      <c r="G1772" s="2">
        <v>361.7</v>
      </c>
      <c r="I1772" s="2">
        <v>200</v>
      </c>
      <c r="K1772" s="2">
        <v>200</v>
      </c>
      <c r="L1772" s="9"/>
      <c r="M1772" s="2">
        <v>200</v>
      </c>
      <c r="N1772" s="9"/>
      <c r="O1772" s="2">
        <v>0</v>
      </c>
      <c r="P1772" s="9"/>
      <c r="Q1772" s="2">
        <f t="shared" ref="Q1772:Q1786" si="63">M1772+O1772</f>
        <v>200</v>
      </c>
      <c r="T1772" s="11"/>
    </row>
    <row r="1773" spans="1:20" ht="11.85" customHeight="1" x14ac:dyDescent="0.2">
      <c r="A1773" s="3" t="s">
        <v>902</v>
      </c>
      <c r="C1773" s="2">
        <v>332.34</v>
      </c>
      <c r="E1773" s="2">
        <v>400</v>
      </c>
      <c r="G1773" s="2">
        <v>820.21</v>
      </c>
      <c r="I1773" s="2">
        <v>2000</v>
      </c>
      <c r="K1773" s="2">
        <v>760</v>
      </c>
      <c r="L1773" s="9"/>
      <c r="M1773" s="2">
        <v>800</v>
      </c>
      <c r="N1773" s="9"/>
      <c r="O1773" s="2">
        <v>0</v>
      </c>
      <c r="P1773" s="9"/>
      <c r="Q1773" s="2">
        <f t="shared" si="63"/>
        <v>800</v>
      </c>
      <c r="T1773" s="11"/>
    </row>
    <row r="1774" spans="1:20" ht="11.85" customHeight="1" x14ac:dyDescent="0.2">
      <c r="A1774" s="3" t="s">
        <v>903</v>
      </c>
      <c r="C1774" s="2">
        <v>1205.6300000000001</v>
      </c>
      <c r="E1774" s="2">
        <v>5893.68</v>
      </c>
      <c r="G1774" s="2">
        <v>5854.01</v>
      </c>
      <c r="I1774" s="2">
        <v>6000</v>
      </c>
      <c r="K1774" s="2">
        <v>6000</v>
      </c>
      <c r="L1774" s="9"/>
      <c r="M1774" s="2">
        <v>7500</v>
      </c>
      <c r="N1774" s="9"/>
      <c r="O1774" s="2">
        <v>0</v>
      </c>
      <c r="P1774" s="9"/>
      <c r="Q1774" s="2">
        <f t="shared" si="63"/>
        <v>7500</v>
      </c>
      <c r="T1774" s="11"/>
    </row>
    <row r="1775" spans="1:20" ht="11.85" customHeight="1" x14ac:dyDescent="0.2">
      <c r="A1775" s="3" t="s">
        <v>904</v>
      </c>
      <c r="C1775" s="2">
        <v>4072.09</v>
      </c>
      <c r="E1775" s="2">
        <v>5616.08</v>
      </c>
      <c r="G1775" s="2">
        <v>4160.41</v>
      </c>
      <c r="I1775" s="2">
        <v>4800</v>
      </c>
      <c r="K1775" s="2">
        <v>4800</v>
      </c>
      <c r="L1775" s="9"/>
      <c r="M1775" s="2">
        <v>4800</v>
      </c>
      <c r="N1775" s="9"/>
      <c r="O1775" s="2">
        <v>0</v>
      </c>
      <c r="P1775" s="9"/>
      <c r="Q1775" s="2">
        <f t="shared" si="63"/>
        <v>4800</v>
      </c>
      <c r="T1775" s="11"/>
    </row>
    <row r="1776" spans="1:20" ht="11.85" customHeight="1" x14ac:dyDescent="0.2">
      <c r="A1776" s="3" t="s">
        <v>905</v>
      </c>
      <c r="C1776" s="2">
        <v>3015.18</v>
      </c>
      <c r="E1776" s="2">
        <v>2421.44</v>
      </c>
      <c r="G1776" s="2">
        <v>988.91</v>
      </c>
      <c r="I1776" s="2">
        <v>1000</v>
      </c>
      <c r="K1776" s="2">
        <v>1000</v>
      </c>
      <c r="L1776" s="9"/>
      <c r="M1776" s="2">
        <v>2000</v>
      </c>
      <c r="N1776" s="9"/>
      <c r="O1776" s="2">
        <v>0</v>
      </c>
      <c r="P1776" s="9"/>
      <c r="Q1776" s="2">
        <f t="shared" si="63"/>
        <v>2000</v>
      </c>
      <c r="T1776" s="11"/>
    </row>
    <row r="1777" spans="1:20" ht="11.85" customHeight="1" x14ac:dyDescent="0.2">
      <c r="A1777" s="3" t="s">
        <v>906</v>
      </c>
      <c r="C1777" s="2">
        <v>0</v>
      </c>
      <c r="E1777" s="2">
        <v>0</v>
      </c>
      <c r="G1777" s="2">
        <v>0</v>
      </c>
      <c r="I1777" s="2">
        <v>200</v>
      </c>
      <c r="K1777" s="2">
        <v>200</v>
      </c>
      <c r="L1777" s="9"/>
      <c r="M1777" s="2">
        <v>200</v>
      </c>
      <c r="N1777" s="9"/>
      <c r="O1777" s="2">
        <v>0</v>
      </c>
      <c r="P1777" s="9"/>
      <c r="Q1777" s="2">
        <f t="shared" si="63"/>
        <v>200</v>
      </c>
      <c r="T1777" s="11"/>
    </row>
    <row r="1778" spans="1:20" ht="11.85" customHeight="1" x14ac:dyDescent="0.2">
      <c r="A1778" s="3" t="s">
        <v>907</v>
      </c>
      <c r="C1778" s="2">
        <v>419</v>
      </c>
      <c r="E1778" s="2">
        <v>239.82</v>
      </c>
      <c r="G1778" s="2">
        <v>0</v>
      </c>
      <c r="I1778" s="2">
        <v>0</v>
      </c>
      <c r="K1778" s="2">
        <v>1240</v>
      </c>
      <c r="L1778" s="9"/>
      <c r="M1778" s="2">
        <v>500</v>
      </c>
      <c r="N1778" s="9"/>
      <c r="O1778" s="2">
        <v>0</v>
      </c>
      <c r="P1778" s="9"/>
      <c r="Q1778" s="2">
        <f t="shared" si="63"/>
        <v>500</v>
      </c>
      <c r="T1778" s="11"/>
    </row>
    <row r="1779" spans="1:20" ht="11.85" customHeight="1" x14ac:dyDescent="0.2">
      <c r="A1779" s="3" t="s">
        <v>908</v>
      </c>
      <c r="C1779" s="2">
        <v>0</v>
      </c>
      <c r="E1779" s="2">
        <v>0</v>
      </c>
      <c r="G1779" s="2">
        <v>106.99</v>
      </c>
      <c r="I1779" s="2">
        <v>1000</v>
      </c>
      <c r="K1779" s="2">
        <v>1000</v>
      </c>
      <c r="L1779" s="9"/>
      <c r="M1779" s="2">
        <v>1000</v>
      </c>
      <c r="N1779" s="9"/>
      <c r="O1779" s="2">
        <v>0</v>
      </c>
      <c r="P1779" s="9"/>
      <c r="Q1779" s="2">
        <f t="shared" si="63"/>
        <v>1000</v>
      </c>
      <c r="T1779" s="11"/>
    </row>
    <row r="1780" spans="1:20" ht="11.85" customHeight="1" x14ac:dyDescent="0.2">
      <c r="A1780" s="3" t="s">
        <v>909</v>
      </c>
      <c r="C1780" s="2">
        <v>0</v>
      </c>
      <c r="E1780" s="2">
        <v>0</v>
      </c>
      <c r="G1780" s="2">
        <v>0</v>
      </c>
      <c r="I1780" s="2">
        <v>0</v>
      </c>
      <c r="K1780" s="2">
        <v>0</v>
      </c>
      <c r="L1780" s="9"/>
      <c r="M1780" s="2">
        <v>0</v>
      </c>
      <c r="N1780" s="9"/>
      <c r="O1780" s="2">
        <v>0</v>
      </c>
      <c r="P1780" s="9"/>
      <c r="Q1780" s="2">
        <f t="shared" si="63"/>
        <v>0</v>
      </c>
      <c r="T1780" s="11"/>
    </row>
    <row r="1781" spans="1:20" ht="11.85" customHeight="1" x14ac:dyDescent="0.2">
      <c r="A1781" s="3" t="s">
        <v>910</v>
      </c>
      <c r="C1781" s="2">
        <v>1684.31</v>
      </c>
      <c r="E1781" s="2">
        <v>1375.77</v>
      </c>
      <c r="G1781" s="2">
        <v>1618.7</v>
      </c>
      <c r="I1781" s="2">
        <v>2000</v>
      </c>
      <c r="K1781" s="2">
        <v>2000</v>
      </c>
      <c r="L1781" s="9"/>
      <c r="M1781" s="2">
        <v>1000</v>
      </c>
      <c r="N1781" s="9"/>
      <c r="O1781" s="2">
        <v>0</v>
      </c>
      <c r="P1781" s="9"/>
      <c r="Q1781" s="2">
        <f t="shared" si="63"/>
        <v>1000</v>
      </c>
      <c r="T1781" s="11"/>
    </row>
    <row r="1782" spans="1:20" ht="11.85" customHeight="1" x14ac:dyDescent="0.2">
      <c r="A1782" s="3" t="s">
        <v>911</v>
      </c>
      <c r="C1782" s="2">
        <v>0</v>
      </c>
      <c r="E1782" s="2">
        <v>0</v>
      </c>
      <c r="G1782" s="2">
        <v>0</v>
      </c>
      <c r="I1782" s="2">
        <v>200</v>
      </c>
      <c r="K1782" s="2">
        <v>200</v>
      </c>
      <c r="L1782" s="9"/>
      <c r="M1782" s="2">
        <v>200</v>
      </c>
      <c r="N1782" s="9"/>
      <c r="O1782" s="2">
        <v>0</v>
      </c>
      <c r="P1782" s="9"/>
      <c r="Q1782" s="2">
        <f t="shared" si="63"/>
        <v>200</v>
      </c>
      <c r="T1782" s="11"/>
    </row>
    <row r="1783" spans="1:20" ht="11.85" customHeight="1" x14ac:dyDescent="0.2">
      <c r="A1783" s="3" t="s">
        <v>912</v>
      </c>
      <c r="C1783" s="2">
        <v>0</v>
      </c>
      <c r="E1783" s="2">
        <v>-50</v>
      </c>
      <c r="G1783" s="2">
        <v>0</v>
      </c>
      <c r="I1783" s="2">
        <v>0</v>
      </c>
      <c r="K1783" s="2">
        <v>0</v>
      </c>
      <c r="L1783" s="9"/>
      <c r="M1783" s="2">
        <v>0</v>
      </c>
      <c r="N1783" s="9"/>
      <c r="O1783" s="2">
        <v>0</v>
      </c>
      <c r="P1783" s="9"/>
      <c r="Q1783" s="2">
        <f t="shared" si="63"/>
        <v>0</v>
      </c>
      <c r="T1783" s="11"/>
    </row>
    <row r="1784" spans="1:20" ht="11.85" customHeight="1" x14ac:dyDescent="0.2">
      <c r="A1784" s="3" t="s">
        <v>913</v>
      </c>
      <c r="C1784" s="2">
        <v>0</v>
      </c>
      <c r="E1784" s="2">
        <v>0</v>
      </c>
      <c r="G1784" s="2">
        <v>0</v>
      </c>
      <c r="I1784" s="2">
        <v>2000</v>
      </c>
      <c r="K1784" s="2">
        <v>2000</v>
      </c>
      <c r="L1784" s="9"/>
      <c r="M1784" s="2">
        <v>0</v>
      </c>
      <c r="N1784" s="9"/>
      <c r="O1784" s="2">
        <v>0</v>
      </c>
      <c r="P1784" s="9"/>
      <c r="Q1784" s="2">
        <f t="shared" si="63"/>
        <v>0</v>
      </c>
      <c r="T1784" s="11"/>
    </row>
    <row r="1785" spans="1:20" ht="11.85" customHeight="1" x14ac:dyDescent="0.2">
      <c r="A1785" s="3" t="s">
        <v>914</v>
      </c>
      <c r="C1785" s="2">
        <v>250</v>
      </c>
      <c r="E1785" s="2">
        <v>399.9</v>
      </c>
      <c r="G1785" s="2">
        <v>254</v>
      </c>
      <c r="I1785" s="2">
        <v>1000</v>
      </c>
      <c r="K1785" s="2">
        <v>1000</v>
      </c>
      <c r="L1785" s="9"/>
      <c r="M1785" s="2">
        <v>1000</v>
      </c>
      <c r="N1785" s="9"/>
      <c r="O1785" s="2">
        <v>0</v>
      </c>
      <c r="P1785" s="9"/>
      <c r="Q1785" s="2">
        <f>M1785+O1785</f>
        <v>1000</v>
      </c>
      <c r="T1785" s="11"/>
    </row>
    <row r="1786" spans="1:20" ht="11.85" customHeight="1" x14ac:dyDescent="0.2">
      <c r="A1786" s="3" t="s">
        <v>915</v>
      </c>
      <c r="C1786" s="12">
        <v>0</v>
      </c>
      <c r="E1786" s="12">
        <v>0</v>
      </c>
      <c r="G1786" s="12">
        <v>0</v>
      </c>
      <c r="I1786" s="12">
        <v>0</v>
      </c>
      <c r="K1786" s="12">
        <v>0</v>
      </c>
      <c r="L1786" s="9"/>
      <c r="M1786" s="12">
        <v>0</v>
      </c>
      <c r="N1786" s="9"/>
      <c r="O1786" s="12">
        <v>0</v>
      </c>
      <c r="P1786" s="9"/>
      <c r="Q1786" s="12">
        <f t="shared" si="63"/>
        <v>0</v>
      </c>
      <c r="T1786" s="11"/>
    </row>
    <row r="1787" spans="1:20" ht="11.85" customHeight="1" x14ac:dyDescent="0.2">
      <c r="A1787" s="3" t="s">
        <v>328</v>
      </c>
      <c r="C1787" s="2">
        <f>SUM(C1772:C1786)</f>
        <v>10978.55</v>
      </c>
      <c r="E1787" s="2">
        <f>SUM(E1772:E1786)</f>
        <v>16675</v>
      </c>
      <c r="G1787" s="2">
        <f>SUM(G1772:G1786)</f>
        <v>14164.93</v>
      </c>
      <c r="I1787" s="2">
        <f>SUM(I1772:I1786)</f>
        <v>20400</v>
      </c>
      <c r="K1787" s="2">
        <f>SUM(K1772:K1786)</f>
        <v>20400</v>
      </c>
      <c r="L1787" s="9"/>
      <c r="M1787" s="2">
        <f>SUM(M1772:M1786)</f>
        <v>19200</v>
      </c>
      <c r="N1787" s="9"/>
      <c r="O1787" s="2">
        <f>SUM(O1772:O1786)</f>
        <v>0</v>
      </c>
      <c r="P1787" s="9"/>
      <c r="Q1787" s="2">
        <f>SUM(Q1772:Q1786)</f>
        <v>19200</v>
      </c>
      <c r="R1787" s="9"/>
      <c r="T1787" s="14"/>
    </row>
    <row r="1788" spans="1:20" ht="11.85" customHeight="1" x14ac:dyDescent="0.2"/>
    <row r="1789" spans="1:20" ht="11.85" customHeight="1" x14ac:dyDescent="0.2">
      <c r="A1789" s="3" t="s">
        <v>916</v>
      </c>
      <c r="C1789" s="2">
        <v>35874.480000000003</v>
      </c>
      <c r="E1789" s="2">
        <v>9664.17</v>
      </c>
      <c r="G1789" s="2">
        <v>0</v>
      </c>
      <c r="I1789" s="2">
        <v>0</v>
      </c>
      <c r="K1789" s="2">
        <v>0</v>
      </c>
      <c r="L1789" s="9"/>
      <c r="M1789" s="2">
        <v>0</v>
      </c>
      <c r="N1789" s="9"/>
      <c r="O1789" s="2">
        <v>0</v>
      </c>
      <c r="P1789" s="9"/>
      <c r="Q1789" s="2">
        <f>M1789+O1789</f>
        <v>0</v>
      </c>
      <c r="T1789" s="11"/>
    </row>
    <row r="1790" spans="1:20" ht="11.85" customHeight="1" x14ac:dyDescent="0.2">
      <c r="A1790" s="3" t="s">
        <v>917</v>
      </c>
      <c r="C1790" s="12">
        <v>0</v>
      </c>
      <c r="E1790" s="12">
        <v>0</v>
      </c>
      <c r="G1790" s="12">
        <v>0</v>
      </c>
      <c r="I1790" s="12">
        <v>0</v>
      </c>
      <c r="K1790" s="12">
        <v>0</v>
      </c>
      <c r="L1790" s="9"/>
      <c r="M1790" s="12">
        <v>0</v>
      </c>
      <c r="N1790" s="9"/>
      <c r="O1790" s="12">
        <v>0</v>
      </c>
      <c r="P1790" s="9"/>
      <c r="Q1790" s="12">
        <v>0</v>
      </c>
      <c r="T1790" s="11"/>
    </row>
    <row r="1791" spans="1:20" ht="11.85" customHeight="1" x14ac:dyDescent="0.2">
      <c r="A1791" s="3" t="s">
        <v>331</v>
      </c>
      <c r="C1791" s="2">
        <f>SUM(C1789:C1790)</f>
        <v>35874.480000000003</v>
      </c>
      <c r="E1791" s="2">
        <f>SUM(E1789:E1790)</f>
        <v>9664.17</v>
      </c>
      <c r="G1791" s="2">
        <f>SUM(G1789:G1790)</f>
        <v>0</v>
      </c>
      <c r="I1791" s="2">
        <f>SUM(I1789)</f>
        <v>0</v>
      </c>
      <c r="K1791" s="2">
        <f>SUM(K1789:K1790)</f>
        <v>0</v>
      </c>
      <c r="L1791" s="9"/>
      <c r="M1791" s="2">
        <f>SUM(M1789:M1790)</f>
        <v>0</v>
      </c>
      <c r="N1791" s="9"/>
      <c r="O1791" s="2">
        <f>SUM(O1789:O1790)</f>
        <v>0</v>
      </c>
      <c r="P1791" s="9"/>
      <c r="Q1791" s="2">
        <f>SUM(Q1789:Q1790)</f>
        <v>0</v>
      </c>
    </row>
    <row r="1792" spans="1:20" ht="11.85" customHeight="1" x14ac:dyDescent="0.2">
      <c r="L1792" s="9"/>
      <c r="N1792" s="9"/>
      <c r="P1792" s="9"/>
    </row>
    <row r="1793" spans="1:20" ht="11.85" customHeight="1" x14ac:dyDescent="0.2">
      <c r="A1793" s="3" t="s">
        <v>918</v>
      </c>
      <c r="C1793" s="2">
        <f>C1754+C1769+C1787+C1791</f>
        <v>160980.41</v>
      </c>
      <c r="E1793" s="2">
        <f>E1754+E1769+E1787+E1791</f>
        <v>128904.29000000001</v>
      </c>
      <c r="G1793" s="2">
        <f>G1754+G1769+G1787+G1791</f>
        <v>101932.94999999998</v>
      </c>
      <c r="I1793" s="2">
        <f>I1754+I1769+I1787+I1791</f>
        <v>123209</v>
      </c>
      <c r="K1793" s="2">
        <f>K1754+K1769+K1787+K1791</f>
        <v>121002</v>
      </c>
      <c r="L1793" s="9"/>
      <c r="M1793" s="2">
        <f>M1754+M1769+M1787+M1791</f>
        <v>116499</v>
      </c>
      <c r="N1793" s="9"/>
      <c r="O1793" s="2">
        <f>O1754+O1769+O1787+O1791</f>
        <v>0</v>
      </c>
      <c r="P1793" s="9"/>
      <c r="Q1793" s="2">
        <f>Q1754+Q1769+Q1787+Q1791</f>
        <v>116499</v>
      </c>
      <c r="R1793" s="9"/>
      <c r="T1793" s="11"/>
    </row>
    <row r="1794" spans="1:20" ht="11.85" customHeight="1" x14ac:dyDescent="0.2">
      <c r="L1794" s="9"/>
      <c r="N1794" s="9"/>
      <c r="P1794" s="9"/>
    </row>
    <row r="1795" spans="1:20" ht="11.85" customHeight="1" x14ac:dyDescent="0.2">
      <c r="L1795" s="9"/>
      <c r="N1795" s="9"/>
      <c r="P1795" s="9"/>
    </row>
    <row r="1796" spans="1:20" ht="11.85" customHeight="1" x14ac:dyDescent="0.2">
      <c r="L1796" s="9"/>
      <c r="N1796" s="9"/>
      <c r="P1796" s="9"/>
    </row>
    <row r="1797" spans="1:20" ht="11.85" customHeight="1" x14ac:dyDescent="0.2">
      <c r="L1797" s="9"/>
      <c r="N1797" s="9"/>
      <c r="P1797" s="9"/>
    </row>
    <row r="1798" spans="1:20" ht="11.85" customHeight="1" x14ac:dyDescent="0.2">
      <c r="L1798" s="9"/>
      <c r="N1798" s="9"/>
      <c r="P1798" s="9"/>
    </row>
    <row r="1799" spans="1:20" ht="11.85" customHeight="1" x14ac:dyDescent="0.2">
      <c r="L1799" s="9"/>
      <c r="N1799" s="9"/>
      <c r="P1799" s="9"/>
    </row>
    <row r="1800" spans="1:20" ht="11.85" customHeight="1" x14ac:dyDescent="0.2">
      <c r="L1800" s="9"/>
      <c r="N1800" s="9"/>
      <c r="P1800" s="9"/>
    </row>
    <row r="1801" spans="1:20" ht="11.85" customHeight="1" x14ac:dyDescent="0.2">
      <c r="L1801" s="9"/>
      <c r="N1801" s="9"/>
      <c r="P1801" s="9"/>
    </row>
    <row r="1802" spans="1:20" ht="11.85" customHeight="1" x14ac:dyDescent="0.2">
      <c r="A1802" s="1"/>
      <c r="B1802" s="1"/>
      <c r="E1802" s="2" t="str">
        <f>$E$1</f>
        <v>CITY OF BRADY</v>
      </c>
    </row>
    <row r="1803" spans="1:20" ht="11.85" customHeight="1" x14ac:dyDescent="0.2">
      <c r="E1803" s="2" t="str">
        <f>$E$2</f>
        <v>BUDGET REPORT</v>
      </c>
    </row>
    <row r="1804" spans="1:20" ht="11.85" customHeight="1" x14ac:dyDescent="0.2">
      <c r="E1804" s="2" t="str">
        <f>$E$3</f>
        <v>FISCAL YEAR 2024 - 2025</v>
      </c>
    </row>
    <row r="1805" spans="1:20" ht="11.85" customHeight="1" x14ac:dyDescent="0.2">
      <c r="A1805" s="3" t="s">
        <v>3</v>
      </c>
    </row>
    <row r="1806" spans="1:20" ht="11.85" customHeight="1" x14ac:dyDescent="0.2">
      <c r="A1806" s="3" t="s">
        <v>919</v>
      </c>
    </row>
    <row r="1807" spans="1:20" ht="11.85" customHeight="1" x14ac:dyDescent="0.2">
      <c r="I1807" s="53" t="str">
        <f>$I$6</f>
        <v>(----- 2023-2024------)</v>
      </c>
      <c r="J1807" s="53"/>
      <c r="K1807" s="53"/>
      <c r="L1807" s="6"/>
      <c r="M1807" s="54" t="str">
        <f>$M$6</f>
        <v>2024-2025</v>
      </c>
      <c r="N1807" s="54"/>
      <c r="O1807" s="54"/>
      <c r="P1807" s="54"/>
      <c r="Q1807" s="54"/>
    </row>
    <row r="1808" spans="1:20" ht="11.85" customHeight="1" x14ac:dyDescent="0.2">
      <c r="C1808" s="5" t="str">
        <f>$C$7</f>
        <v>2020-2021</v>
      </c>
      <c r="D1808" s="5"/>
      <c r="E1808" s="5" t="str">
        <f>$E$7</f>
        <v>2021-2022</v>
      </c>
      <c r="F1808" s="5"/>
      <c r="G1808" s="5" t="str">
        <f>$G$7</f>
        <v>2022-2023</v>
      </c>
      <c r="H1808" s="5"/>
      <c r="I1808" s="5" t="s">
        <v>9</v>
      </c>
      <c r="J1808" s="5"/>
      <c r="K1808" s="5" t="str">
        <f>+$K$7</f>
        <v>PROJECTED</v>
      </c>
      <c r="L1808" s="6"/>
      <c r="M1808" s="5">
        <f>$M$7</f>
        <v>0</v>
      </c>
      <c r="N1808" s="6"/>
      <c r="O1808" s="5" t="str">
        <f>$O$7</f>
        <v>2024-2025</v>
      </c>
      <c r="P1808" s="6"/>
      <c r="Q1808" s="5" t="str">
        <f>$Q$7</f>
        <v>APPROVED</v>
      </c>
    </row>
    <row r="1809" spans="1:21" ht="11.85" customHeight="1" x14ac:dyDescent="0.2">
      <c r="A1809" s="7" t="s">
        <v>273</v>
      </c>
      <c r="C1809" s="8" t="s">
        <v>12</v>
      </c>
      <c r="D1809" s="5"/>
      <c r="E1809" s="8" t="s">
        <v>12</v>
      </c>
      <c r="F1809" s="5"/>
      <c r="G1809" s="8" t="s">
        <v>12</v>
      </c>
      <c r="H1809" s="5"/>
      <c r="I1809" s="8" t="s">
        <v>13</v>
      </c>
      <c r="J1809" s="5"/>
      <c r="K1809" s="8" t="s">
        <v>13</v>
      </c>
      <c r="L1809" s="6"/>
      <c r="M1809" s="8" t="str">
        <f>$M$8</f>
        <v>BASE</v>
      </c>
      <c r="N1809" s="6"/>
      <c r="O1809" s="8" t="str">
        <f>$O$8</f>
        <v>SUPPLEMENTAL</v>
      </c>
      <c r="P1809" s="6"/>
      <c r="Q1809" s="8" t="str">
        <f>$Q$8</f>
        <v>BUDGET</v>
      </c>
    </row>
    <row r="1810" spans="1:21" ht="11.85" customHeight="1" x14ac:dyDescent="0.2"/>
    <row r="1811" spans="1:21" ht="11.85" customHeight="1" x14ac:dyDescent="0.2">
      <c r="A1811" s="10" t="s">
        <v>274</v>
      </c>
    </row>
    <row r="1812" spans="1:21" ht="11.85" customHeight="1" x14ac:dyDescent="0.2">
      <c r="A1812" s="3" t="s">
        <v>920</v>
      </c>
      <c r="C1812" s="2">
        <v>930018.19</v>
      </c>
      <c r="E1812" s="2">
        <v>922258.18</v>
      </c>
      <c r="G1812" s="2">
        <v>1035994.81</v>
      </c>
      <c r="I1812" s="2">
        <v>1075177</v>
      </c>
      <c r="K1812" s="2">
        <v>1075177</v>
      </c>
      <c r="L1812" s="9"/>
      <c r="M1812" s="2">
        <v>1118226</v>
      </c>
      <c r="N1812" s="9"/>
      <c r="O1812" s="2">
        <v>0</v>
      </c>
      <c r="P1812" s="9"/>
      <c r="Q1812" s="2">
        <f t="shared" ref="Q1812:Q1821" si="64">M1812+O1812</f>
        <v>1118226</v>
      </c>
      <c r="T1812" s="11"/>
    </row>
    <row r="1813" spans="1:21" ht="11.85" customHeight="1" x14ac:dyDescent="0.2">
      <c r="A1813" s="3" t="s">
        <v>921</v>
      </c>
      <c r="C1813" s="2">
        <v>96036.78</v>
      </c>
      <c r="E1813" s="2">
        <v>107978.63</v>
      </c>
      <c r="G1813" s="2">
        <v>111248.73</v>
      </c>
      <c r="I1813" s="2">
        <v>113000</v>
      </c>
      <c r="K1813" s="2">
        <v>113000</v>
      </c>
      <c r="L1813" s="9"/>
      <c r="M1813" s="2">
        <v>113000</v>
      </c>
      <c r="N1813" s="9"/>
      <c r="O1813" s="2">
        <v>0</v>
      </c>
      <c r="P1813" s="9"/>
      <c r="Q1813" s="2">
        <f t="shared" si="64"/>
        <v>113000</v>
      </c>
      <c r="T1813" s="11"/>
    </row>
    <row r="1814" spans="1:21" ht="11.85" customHeight="1" x14ac:dyDescent="0.2">
      <c r="A1814" s="3" t="s">
        <v>922</v>
      </c>
      <c r="C1814" s="2">
        <v>19425</v>
      </c>
      <c r="E1814" s="2">
        <v>20775</v>
      </c>
      <c r="G1814" s="2">
        <v>19125</v>
      </c>
      <c r="I1814" s="2">
        <v>21000</v>
      </c>
      <c r="K1814" s="2">
        <v>21000</v>
      </c>
      <c r="L1814" s="9"/>
      <c r="M1814" s="2">
        <v>21000</v>
      </c>
      <c r="N1814" s="9"/>
      <c r="O1814" s="2">
        <v>0</v>
      </c>
      <c r="P1814" s="9"/>
      <c r="Q1814" s="2">
        <f t="shared" si="64"/>
        <v>21000</v>
      </c>
      <c r="T1814" s="11"/>
    </row>
    <row r="1815" spans="1:21" ht="11.85" customHeight="1" x14ac:dyDescent="0.2">
      <c r="A1815" s="3" t="s">
        <v>923</v>
      </c>
      <c r="C1815" s="2">
        <v>0</v>
      </c>
      <c r="E1815" s="2">
        <v>0</v>
      </c>
      <c r="G1815" s="2">
        <v>0</v>
      </c>
      <c r="I1815" s="2">
        <v>0</v>
      </c>
      <c r="K1815" s="2">
        <v>0</v>
      </c>
      <c r="L1815" s="9"/>
      <c r="M1815" s="2">
        <v>0</v>
      </c>
      <c r="N1815" s="9"/>
      <c r="O1815" s="2">
        <v>0</v>
      </c>
      <c r="P1815" s="9"/>
      <c r="Q1815" s="2">
        <f t="shared" si="64"/>
        <v>0</v>
      </c>
      <c r="T1815" s="11"/>
    </row>
    <row r="1816" spans="1:21" ht="11.85" hidden="1" customHeight="1" x14ac:dyDescent="0.2">
      <c r="A1816" s="3" t="s">
        <v>924</v>
      </c>
      <c r="C1816" s="2">
        <v>0</v>
      </c>
      <c r="E1816" s="2">
        <v>0</v>
      </c>
      <c r="G1816" s="2">
        <v>0</v>
      </c>
      <c r="I1816" s="2">
        <v>0</v>
      </c>
      <c r="K1816" s="2">
        <v>0</v>
      </c>
      <c r="L1816" s="9"/>
      <c r="M1816" s="2">
        <v>0</v>
      </c>
      <c r="N1816" s="9"/>
      <c r="O1816" s="2">
        <v>0</v>
      </c>
      <c r="P1816" s="9"/>
      <c r="Q1816" s="2">
        <f t="shared" si="64"/>
        <v>0</v>
      </c>
      <c r="T1816" s="11"/>
    </row>
    <row r="1817" spans="1:21" ht="11.85" customHeight="1" x14ac:dyDescent="0.2">
      <c r="A1817" s="3" t="s">
        <v>925</v>
      </c>
      <c r="C1817" s="2">
        <v>178621.22</v>
      </c>
      <c r="E1817" s="2">
        <v>147587.13</v>
      </c>
      <c r="G1817" s="2">
        <v>155490.59</v>
      </c>
      <c r="I1817" s="2">
        <v>171900</v>
      </c>
      <c r="K1817" s="2">
        <v>169500</v>
      </c>
      <c r="L1817" s="9"/>
      <c r="M1817" s="2">
        <v>152122</v>
      </c>
      <c r="N1817" s="9"/>
      <c r="O1817" s="2">
        <v>0</v>
      </c>
      <c r="P1817" s="9"/>
      <c r="Q1817" s="2">
        <f t="shared" si="64"/>
        <v>152122</v>
      </c>
      <c r="T1817" s="11"/>
    </row>
    <row r="1818" spans="1:21" ht="11.85" customHeight="1" x14ac:dyDescent="0.2">
      <c r="A1818" s="3" t="s">
        <v>926</v>
      </c>
      <c r="C1818" s="2">
        <v>103641.25</v>
      </c>
      <c r="E1818" s="2">
        <v>100723.92</v>
      </c>
      <c r="G1818" s="2">
        <v>112923.22</v>
      </c>
      <c r="I1818" s="2">
        <v>115300</v>
      </c>
      <c r="K1818" s="2">
        <v>115300</v>
      </c>
      <c r="L1818" s="9"/>
      <c r="M1818" s="2">
        <v>116612</v>
      </c>
      <c r="N1818" s="9"/>
      <c r="O1818" s="2">
        <v>0</v>
      </c>
      <c r="P1818" s="9"/>
      <c r="Q1818" s="2">
        <f t="shared" si="64"/>
        <v>116612</v>
      </c>
      <c r="T1818" s="11"/>
    </row>
    <row r="1819" spans="1:21" ht="11.85" customHeight="1" x14ac:dyDescent="0.2">
      <c r="A1819" s="3" t="s">
        <v>927</v>
      </c>
      <c r="C1819" s="2">
        <v>21851.1</v>
      </c>
      <c r="E1819" s="2">
        <v>21167.13</v>
      </c>
      <c r="G1819" s="2">
        <v>31679.89</v>
      </c>
      <c r="I1819" s="2">
        <v>27943</v>
      </c>
      <c r="K1819" s="2">
        <v>27943</v>
      </c>
      <c r="L1819" s="9"/>
      <c r="M1819" s="2">
        <v>31088</v>
      </c>
      <c r="N1819" s="9"/>
      <c r="O1819" s="2">
        <v>0</v>
      </c>
      <c r="P1819" s="9"/>
      <c r="Q1819" s="2">
        <f t="shared" si="64"/>
        <v>31088</v>
      </c>
      <c r="T1819" s="11"/>
    </row>
    <row r="1820" spans="1:21" ht="11.85" customHeight="1" x14ac:dyDescent="0.2">
      <c r="A1820" s="3" t="s">
        <v>928</v>
      </c>
      <c r="C1820" s="2">
        <v>4474.34</v>
      </c>
      <c r="E1820" s="2">
        <v>219.61</v>
      </c>
      <c r="G1820" s="2">
        <v>158.22</v>
      </c>
      <c r="I1820" s="2">
        <v>1758</v>
      </c>
      <c r="K1820" s="2">
        <v>1758</v>
      </c>
      <c r="L1820" s="9"/>
      <c r="M1820" s="2">
        <v>1800</v>
      </c>
      <c r="N1820" s="9"/>
      <c r="O1820" s="2">
        <v>0</v>
      </c>
      <c r="P1820" s="9"/>
      <c r="Q1820" s="2">
        <f t="shared" si="64"/>
        <v>1800</v>
      </c>
      <c r="T1820" s="11"/>
    </row>
    <row r="1821" spans="1:21" ht="11.85" customHeight="1" x14ac:dyDescent="0.2">
      <c r="A1821" s="3" t="s">
        <v>929</v>
      </c>
      <c r="C1821" s="12">
        <v>75107.88</v>
      </c>
      <c r="E1821" s="12">
        <v>83386.25</v>
      </c>
      <c r="G1821" s="12">
        <v>88900.81</v>
      </c>
      <c r="I1821" s="12">
        <v>92678</v>
      </c>
      <c r="K1821" s="12">
        <v>92678</v>
      </c>
      <c r="L1821" s="9"/>
      <c r="M1821" s="12">
        <v>96036</v>
      </c>
      <c r="N1821" s="9"/>
      <c r="O1821" s="12">
        <v>0</v>
      </c>
      <c r="P1821" s="9"/>
      <c r="Q1821" s="12">
        <f t="shared" si="64"/>
        <v>96036</v>
      </c>
      <c r="T1821" s="11"/>
    </row>
    <row r="1822" spans="1:21" ht="11.85" customHeight="1" x14ac:dyDescent="0.2">
      <c r="A1822" s="3" t="s">
        <v>285</v>
      </c>
      <c r="C1822" s="2">
        <f>SUM(C1812:C1821)</f>
        <v>1429175.7600000002</v>
      </c>
      <c r="E1822" s="2">
        <f>SUM(E1812:E1821)</f>
        <v>1404095.8499999999</v>
      </c>
      <c r="G1822" s="2">
        <f>SUM(G1812:G1821)</f>
        <v>1555521.27</v>
      </c>
      <c r="I1822" s="2">
        <f>SUM(I1812:I1821)</f>
        <v>1618756</v>
      </c>
      <c r="K1822" s="2">
        <f>SUM(K1812:K1821)</f>
        <v>1616356</v>
      </c>
      <c r="L1822" s="9"/>
      <c r="M1822" s="2">
        <f>SUM(M1812:M1821)</f>
        <v>1649884</v>
      </c>
      <c r="N1822" s="9"/>
      <c r="O1822" s="2">
        <f>SUM(O1812:O1821)</f>
        <v>0</v>
      </c>
      <c r="P1822" s="9"/>
      <c r="Q1822" s="2">
        <f>SUM(Q1812:Q1821)</f>
        <v>1649884</v>
      </c>
      <c r="R1822" s="9"/>
      <c r="T1822" s="14"/>
      <c r="U1822" s="9"/>
    </row>
    <row r="1823" spans="1:21" ht="11.85" customHeight="1" x14ac:dyDescent="0.2">
      <c r="L1823" s="9"/>
      <c r="N1823" s="9"/>
      <c r="P1823" s="9"/>
    </row>
    <row r="1824" spans="1:21" ht="11.85" customHeight="1" x14ac:dyDescent="0.2">
      <c r="A1824" s="10" t="s">
        <v>286</v>
      </c>
      <c r="L1824" s="9"/>
      <c r="N1824" s="9"/>
      <c r="P1824" s="9"/>
    </row>
    <row r="1825" spans="1:20" ht="11.85" customHeight="1" x14ac:dyDescent="0.2">
      <c r="A1825" s="3" t="s">
        <v>930</v>
      </c>
      <c r="C1825" s="2">
        <v>0</v>
      </c>
      <c r="E1825" s="2">
        <v>0</v>
      </c>
      <c r="G1825" s="2">
        <v>0</v>
      </c>
      <c r="I1825" s="2">
        <v>500</v>
      </c>
      <c r="K1825" s="2">
        <v>500</v>
      </c>
      <c r="L1825" s="9"/>
      <c r="M1825" s="2">
        <v>500</v>
      </c>
      <c r="N1825" s="9"/>
      <c r="O1825" s="2">
        <v>0</v>
      </c>
      <c r="P1825" s="9"/>
      <c r="Q1825" s="2">
        <f t="shared" ref="Q1825:Q1837" si="65">M1825+O1825</f>
        <v>500</v>
      </c>
      <c r="T1825" s="11"/>
    </row>
    <row r="1826" spans="1:20" ht="11.85" customHeight="1" x14ac:dyDescent="0.2">
      <c r="A1826" s="3" t="s">
        <v>931</v>
      </c>
      <c r="C1826" s="2">
        <v>10828.83</v>
      </c>
      <c r="E1826" s="2">
        <v>13363.53</v>
      </c>
      <c r="G1826" s="2">
        <v>11445.64</v>
      </c>
      <c r="I1826" s="2">
        <v>10000</v>
      </c>
      <c r="K1826" s="2">
        <v>10000</v>
      </c>
      <c r="L1826" s="9"/>
      <c r="M1826" s="2">
        <v>11000</v>
      </c>
      <c r="N1826" s="9"/>
      <c r="O1826" s="2">
        <v>0</v>
      </c>
      <c r="P1826" s="9"/>
      <c r="Q1826" s="2">
        <f t="shared" si="65"/>
        <v>11000</v>
      </c>
      <c r="T1826" s="11"/>
    </row>
    <row r="1827" spans="1:20" ht="11.85" customHeight="1" x14ac:dyDescent="0.2">
      <c r="A1827" s="3" t="s">
        <v>932</v>
      </c>
      <c r="C1827" s="2">
        <v>12000</v>
      </c>
      <c r="E1827" s="2">
        <v>12000</v>
      </c>
      <c r="G1827" s="2">
        <v>12000</v>
      </c>
      <c r="I1827" s="2">
        <v>13000</v>
      </c>
      <c r="K1827" s="2">
        <v>13000</v>
      </c>
      <c r="L1827" s="9"/>
      <c r="M1827" s="2">
        <v>13000</v>
      </c>
      <c r="N1827" s="9"/>
      <c r="O1827" s="2">
        <v>90000</v>
      </c>
      <c r="P1827" s="9"/>
      <c r="Q1827" s="2">
        <f t="shared" si="65"/>
        <v>103000</v>
      </c>
      <c r="T1827" s="11"/>
    </row>
    <row r="1828" spans="1:20" ht="11.85" customHeight="1" x14ac:dyDescent="0.2">
      <c r="A1828" s="3" t="s">
        <v>933</v>
      </c>
      <c r="C1828" s="2">
        <v>2779</v>
      </c>
      <c r="E1828" s="2">
        <v>1611.01</v>
      </c>
      <c r="G1828" s="2">
        <v>1315</v>
      </c>
      <c r="I1828" s="2">
        <v>2500</v>
      </c>
      <c r="K1828" s="2">
        <v>2500</v>
      </c>
      <c r="L1828" s="9"/>
      <c r="M1828" s="2">
        <v>2500</v>
      </c>
      <c r="N1828" s="9"/>
      <c r="O1828" s="2">
        <v>0</v>
      </c>
      <c r="P1828" s="9"/>
      <c r="Q1828" s="2">
        <f t="shared" si="65"/>
        <v>2500</v>
      </c>
      <c r="T1828" s="11"/>
    </row>
    <row r="1829" spans="1:20" ht="11.85" customHeight="1" x14ac:dyDescent="0.2">
      <c r="A1829" s="3" t="s">
        <v>934</v>
      </c>
      <c r="C1829" s="2">
        <v>23020.54</v>
      </c>
      <c r="E1829" s="2">
        <v>25475.61</v>
      </c>
      <c r="G1829" s="2">
        <v>29101.9</v>
      </c>
      <c r="I1829" s="2">
        <v>33600</v>
      </c>
      <c r="K1829" s="2">
        <v>33600</v>
      </c>
      <c r="L1829" s="9"/>
      <c r="M1829" s="2">
        <v>34500</v>
      </c>
      <c r="N1829" s="9"/>
      <c r="O1829" s="2">
        <v>0</v>
      </c>
      <c r="P1829" s="9"/>
      <c r="Q1829" s="2">
        <f t="shared" si="65"/>
        <v>34500</v>
      </c>
      <c r="R1829" s="28"/>
      <c r="T1829" s="11"/>
    </row>
    <row r="1830" spans="1:20" ht="11.85" customHeight="1" x14ac:dyDescent="0.2">
      <c r="A1830" s="3" t="s">
        <v>935</v>
      </c>
      <c r="C1830" s="2">
        <v>22757.73</v>
      </c>
      <c r="E1830" s="2">
        <v>21606.240000000002</v>
      </c>
      <c r="G1830" s="2">
        <v>24140.51</v>
      </c>
      <c r="I1830" s="2">
        <v>23000</v>
      </c>
      <c r="K1830" s="2">
        <v>23000</v>
      </c>
      <c r="L1830" s="9"/>
      <c r="M1830" s="2">
        <v>23000</v>
      </c>
      <c r="N1830" s="9"/>
      <c r="O1830" s="2">
        <v>0</v>
      </c>
      <c r="P1830" s="9"/>
      <c r="Q1830" s="2">
        <f t="shared" si="65"/>
        <v>23000</v>
      </c>
      <c r="T1830" s="11"/>
    </row>
    <row r="1831" spans="1:20" ht="11.85" hidden="1" customHeight="1" x14ac:dyDescent="0.2">
      <c r="A1831" s="3" t="s">
        <v>936</v>
      </c>
      <c r="C1831" s="2">
        <v>0</v>
      </c>
      <c r="E1831" s="2">
        <v>0</v>
      </c>
      <c r="G1831" s="2">
        <v>0</v>
      </c>
      <c r="I1831" s="2">
        <v>0</v>
      </c>
      <c r="K1831" s="2">
        <v>0</v>
      </c>
      <c r="L1831" s="9"/>
      <c r="M1831" s="2">
        <v>0</v>
      </c>
      <c r="N1831" s="9"/>
      <c r="O1831" s="2">
        <v>0</v>
      </c>
      <c r="P1831" s="9"/>
      <c r="Q1831" s="2">
        <f t="shared" si="65"/>
        <v>0</v>
      </c>
      <c r="T1831" s="11"/>
    </row>
    <row r="1832" spans="1:20" ht="11.85" hidden="1" customHeight="1" x14ac:dyDescent="0.2">
      <c r="A1832" s="3" t="s">
        <v>937</v>
      </c>
      <c r="C1832" s="2">
        <v>0</v>
      </c>
      <c r="E1832" s="2">
        <v>0</v>
      </c>
      <c r="G1832" s="2">
        <v>0</v>
      </c>
      <c r="I1832" s="2">
        <v>0</v>
      </c>
      <c r="K1832" s="2">
        <v>0</v>
      </c>
      <c r="L1832" s="9"/>
      <c r="M1832" s="2">
        <v>0</v>
      </c>
      <c r="N1832" s="9"/>
      <c r="O1832" s="2">
        <v>0</v>
      </c>
      <c r="P1832" s="9"/>
      <c r="Q1832" s="2">
        <f t="shared" si="65"/>
        <v>0</v>
      </c>
      <c r="T1832" s="11"/>
    </row>
    <row r="1833" spans="1:20" ht="11.85" customHeight="1" x14ac:dyDescent="0.2">
      <c r="A1833" s="3" t="s">
        <v>938</v>
      </c>
      <c r="C1833" s="2">
        <v>1973.83</v>
      </c>
      <c r="E1833" s="2">
        <v>977.9</v>
      </c>
      <c r="G1833" s="2">
        <v>814.91</v>
      </c>
      <c r="I1833" s="2">
        <v>3000</v>
      </c>
      <c r="K1833" s="2">
        <v>3000</v>
      </c>
      <c r="L1833" s="9"/>
      <c r="M1833" s="2">
        <v>3000</v>
      </c>
      <c r="N1833" s="9"/>
      <c r="O1833" s="2">
        <v>0</v>
      </c>
      <c r="P1833" s="9"/>
      <c r="Q1833" s="2">
        <f t="shared" si="65"/>
        <v>3000</v>
      </c>
      <c r="T1833" s="11"/>
    </row>
    <row r="1834" spans="1:20" ht="11.85" customHeight="1" x14ac:dyDescent="0.2">
      <c r="A1834" s="3" t="s">
        <v>939</v>
      </c>
      <c r="C1834" s="2">
        <v>0</v>
      </c>
      <c r="E1834" s="2">
        <v>0</v>
      </c>
      <c r="G1834" s="2">
        <v>0</v>
      </c>
      <c r="I1834" s="2">
        <v>0</v>
      </c>
      <c r="K1834" s="2">
        <v>0</v>
      </c>
      <c r="L1834" s="9"/>
      <c r="M1834" s="2">
        <v>0</v>
      </c>
      <c r="N1834" s="9"/>
      <c r="O1834" s="2">
        <v>0</v>
      </c>
      <c r="P1834" s="9"/>
      <c r="Q1834" s="2">
        <f t="shared" si="65"/>
        <v>0</v>
      </c>
      <c r="T1834" s="11"/>
    </row>
    <row r="1835" spans="1:20" ht="11.85" customHeight="1" x14ac:dyDescent="0.2">
      <c r="A1835" s="3" t="s">
        <v>940</v>
      </c>
      <c r="C1835" s="2">
        <v>0</v>
      </c>
      <c r="E1835" s="2">
        <v>0</v>
      </c>
      <c r="G1835" s="2">
        <v>0</v>
      </c>
      <c r="I1835" s="2">
        <v>0</v>
      </c>
      <c r="K1835" s="2">
        <v>0</v>
      </c>
      <c r="L1835" s="9"/>
      <c r="M1835" s="2">
        <v>0</v>
      </c>
      <c r="N1835" s="9"/>
      <c r="O1835" s="2">
        <v>0</v>
      </c>
      <c r="P1835" s="9"/>
      <c r="Q1835" s="2">
        <f t="shared" si="65"/>
        <v>0</v>
      </c>
      <c r="T1835" s="11"/>
    </row>
    <row r="1836" spans="1:20" ht="11.85" customHeight="1" x14ac:dyDescent="0.2">
      <c r="A1836" s="3" t="s">
        <v>941</v>
      </c>
      <c r="C1836" s="2">
        <v>3965.42</v>
      </c>
      <c r="E1836" s="2">
        <v>4099.87</v>
      </c>
      <c r="G1836" s="2">
        <v>1885.4</v>
      </c>
      <c r="I1836" s="2">
        <v>4000</v>
      </c>
      <c r="K1836" s="2">
        <v>6400</v>
      </c>
      <c r="L1836" s="9"/>
      <c r="M1836" s="2">
        <v>5000</v>
      </c>
      <c r="N1836" s="9"/>
      <c r="O1836" s="2">
        <v>0</v>
      </c>
      <c r="P1836" s="9"/>
      <c r="Q1836" s="2">
        <f t="shared" si="65"/>
        <v>5000</v>
      </c>
      <c r="T1836" s="11"/>
    </row>
    <row r="1837" spans="1:20" ht="11.85" customHeight="1" x14ac:dyDescent="0.2">
      <c r="A1837" s="3" t="s">
        <v>942</v>
      </c>
      <c r="C1837" s="12">
        <v>4200.4799999999996</v>
      </c>
      <c r="E1837" s="12">
        <v>254.98</v>
      </c>
      <c r="G1837" s="12">
        <v>5524.7</v>
      </c>
      <c r="I1837" s="12">
        <v>1600</v>
      </c>
      <c r="K1837" s="12">
        <v>1600</v>
      </c>
      <c r="L1837" s="9"/>
      <c r="M1837" s="12">
        <v>0</v>
      </c>
      <c r="N1837" s="9"/>
      <c r="O1837" s="12">
        <v>0</v>
      </c>
      <c r="P1837" s="9"/>
      <c r="Q1837" s="12">
        <f t="shared" si="65"/>
        <v>0</v>
      </c>
      <c r="T1837" s="11"/>
    </row>
    <row r="1838" spans="1:20" ht="11.85" customHeight="1" x14ac:dyDescent="0.2">
      <c r="A1838" s="3" t="s">
        <v>304</v>
      </c>
      <c r="C1838" s="2">
        <f>SUM(C1825:C1837)</f>
        <v>81525.83</v>
      </c>
      <c r="E1838" s="2">
        <f>SUM(E1825:E1837)</f>
        <v>79389.139999999985</v>
      </c>
      <c r="G1838" s="2">
        <f>SUM(G1825:G1837)</f>
        <v>86228.06</v>
      </c>
      <c r="I1838" s="2">
        <f>SUM(I1825:I1837)</f>
        <v>91200</v>
      </c>
      <c r="K1838" s="2">
        <f>SUM(K1825:K1837)</f>
        <v>93600</v>
      </c>
      <c r="L1838" s="9"/>
      <c r="M1838" s="2">
        <f>SUM(M1825:M1837)</f>
        <v>92500</v>
      </c>
      <c r="N1838" s="9"/>
      <c r="O1838" s="2">
        <f>SUM(O1825:O1837)</f>
        <v>90000</v>
      </c>
      <c r="P1838" s="9"/>
      <c r="Q1838" s="2">
        <f>SUM(Q1825:Q1837)</f>
        <v>182500</v>
      </c>
      <c r="R1838" s="2"/>
    </row>
    <row r="1839" spans="1:20" ht="11.85" customHeight="1" x14ac:dyDescent="0.2">
      <c r="L1839" s="9"/>
      <c r="N1839" s="9"/>
      <c r="P1839" s="9"/>
    </row>
    <row r="1840" spans="1:20" ht="11.85" customHeight="1" x14ac:dyDescent="0.2">
      <c r="A1840" s="10" t="s">
        <v>305</v>
      </c>
      <c r="L1840" s="9"/>
      <c r="N1840" s="9"/>
      <c r="P1840" s="9"/>
    </row>
    <row r="1841" spans="1:20" ht="11.85" customHeight="1" x14ac:dyDescent="0.2">
      <c r="A1841" s="3" t="s">
        <v>943</v>
      </c>
      <c r="C1841" s="2">
        <v>200</v>
      </c>
      <c r="E1841" s="2">
        <v>332</v>
      </c>
      <c r="G1841" s="2">
        <v>1422.19</v>
      </c>
      <c r="I1841" s="2">
        <v>2500</v>
      </c>
      <c r="K1841" s="2">
        <v>5020</v>
      </c>
      <c r="L1841" s="9"/>
      <c r="M1841" s="2">
        <v>2500</v>
      </c>
      <c r="N1841" s="9"/>
      <c r="O1841" s="2">
        <v>0</v>
      </c>
      <c r="P1841" s="9"/>
      <c r="Q1841" s="2">
        <f t="shared" ref="Q1841:Q1859" si="66">M1841+O1841</f>
        <v>2500</v>
      </c>
      <c r="R1841" s="13"/>
      <c r="T1841" s="11"/>
    </row>
    <row r="1842" spans="1:20" ht="11.85" customHeight="1" x14ac:dyDescent="0.2">
      <c r="A1842" s="3" t="s">
        <v>944</v>
      </c>
      <c r="C1842" s="2">
        <v>2341.9299999999998</v>
      </c>
      <c r="E1842" s="2">
        <v>5440.09</v>
      </c>
      <c r="G1842" s="2">
        <v>4787.2700000000004</v>
      </c>
      <c r="I1842" s="2">
        <v>5900</v>
      </c>
      <c r="K1842" s="2">
        <v>5380</v>
      </c>
      <c r="L1842" s="9"/>
      <c r="M1842" s="2">
        <v>7900</v>
      </c>
      <c r="N1842" s="9"/>
      <c r="O1842" s="2">
        <v>0</v>
      </c>
      <c r="P1842" s="9"/>
      <c r="Q1842" s="2">
        <f t="shared" si="66"/>
        <v>7900</v>
      </c>
      <c r="R1842" s="13"/>
      <c r="T1842" s="11"/>
    </row>
    <row r="1843" spans="1:20" ht="11.85" customHeight="1" x14ac:dyDescent="0.2">
      <c r="A1843" s="3" t="s">
        <v>945</v>
      </c>
      <c r="C1843" s="2">
        <v>1581.16</v>
      </c>
      <c r="E1843" s="2">
        <v>2841.88</v>
      </c>
      <c r="G1843" s="2">
        <v>3084.64</v>
      </c>
      <c r="I1843" s="2">
        <v>6000</v>
      </c>
      <c r="K1843" s="2">
        <v>6000</v>
      </c>
      <c r="L1843" s="9"/>
      <c r="M1843" s="2">
        <v>6000</v>
      </c>
      <c r="N1843" s="9"/>
      <c r="O1843" s="2">
        <v>0</v>
      </c>
      <c r="P1843" s="9"/>
      <c r="Q1843" s="2">
        <f t="shared" si="66"/>
        <v>6000</v>
      </c>
      <c r="R1843" s="13"/>
      <c r="T1843" s="11"/>
    </row>
    <row r="1844" spans="1:20" ht="11.85" customHeight="1" x14ac:dyDescent="0.2">
      <c r="A1844" s="3" t="s">
        <v>946</v>
      </c>
      <c r="C1844" s="2">
        <v>4855.51</v>
      </c>
      <c r="E1844" s="2">
        <v>10561.84</v>
      </c>
      <c r="G1844" s="2">
        <v>17875.87</v>
      </c>
      <c r="I1844" s="2">
        <v>25000</v>
      </c>
      <c r="K1844" s="2">
        <v>25000</v>
      </c>
      <c r="L1844" s="9"/>
      <c r="M1844" s="2">
        <v>25000</v>
      </c>
      <c r="N1844" s="9"/>
      <c r="O1844" s="2">
        <v>0</v>
      </c>
      <c r="P1844" s="9"/>
      <c r="Q1844" s="2">
        <f t="shared" si="66"/>
        <v>25000</v>
      </c>
      <c r="R1844" s="13"/>
      <c r="T1844" s="11"/>
    </row>
    <row r="1845" spans="1:20" ht="11.85" customHeight="1" x14ac:dyDescent="0.2">
      <c r="A1845" s="3" t="s">
        <v>947</v>
      </c>
      <c r="C1845" s="2">
        <v>10063.950000000001</v>
      </c>
      <c r="E1845" s="2">
        <v>8134.52</v>
      </c>
      <c r="G1845" s="2">
        <v>6230.21</v>
      </c>
      <c r="I1845" s="2">
        <v>11000</v>
      </c>
      <c r="K1845" s="2">
        <v>11000</v>
      </c>
      <c r="L1845" s="9"/>
      <c r="M1845" s="2">
        <v>11000</v>
      </c>
      <c r="N1845" s="9"/>
      <c r="O1845" s="2">
        <v>0</v>
      </c>
      <c r="P1845" s="9"/>
      <c r="Q1845" s="2">
        <f t="shared" si="66"/>
        <v>11000</v>
      </c>
      <c r="R1845" s="13"/>
      <c r="T1845" s="11"/>
    </row>
    <row r="1846" spans="1:20" ht="11.85" customHeight="1" x14ac:dyDescent="0.2">
      <c r="A1846" s="3" t="s">
        <v>948</v>
      </c>
      <c r="C1846" s="2">
        <v>70</v>
      </c>
      <c r="E1846" s="2">
        <v>0</v>
      </c>
      <c r="G1846" s="2">
        <v>0</v>
      </c>
      <c r="I1846" s="2">
        <v>2500</v>
      </c>
      <c r="K1846" s="2">
        <v>2500</v>
      </c>
      <c r="L1846" s="9"/>
      <c r="M1846" s="2">
        <v>2500</v>
      </c>
      <c r="N1846" s="9"/>
      <c r="O1846" s="2">
        <v>0</v>
      </c>
      <c r="P1846" s="9"/>
      <c r="Q1846" s="2">
        <f t="shared" si="66"/>
        <v>2500</v>
      </c>
      <c r="R1846" s="13"/>
      <c r="T1846" s="11"/>
    </row>
    <row r="1847" spans="1:20" ht="11.85" customHeight="1" x14ac:dyDescent="0.2">
      <c r="A1847" s="3" t="s">
        <v>949</v>
      </c>
      <c r="C1847" s="2">
        <v>1015.15</v>
      </c>
      <c r="E1847" s="2">
        <v>1815.8</v>
      </c>
      <c r="G1847" s="2">
        <v>1240.9100000000001</v>
      </c>
      <c r="I1847" s="2">
        <v>4000</v>
      </c>
      <c r="K1847" s="2">
        <v>4000</v>
      </c>
      <c r="L1847" s="9"/>
      <c r="M1847" s="2">
        <v>4000</v>
      </c>
      <c r="N1847" s="9"/>
      <c r="O1847" s="2">
        <v>0</v>
      </c>
      <c r="P1847" s="9"/>
      <c r="Q1847" s="2">
        <f t="shared" si="66"/>
        <v>4000</v>
      </c>
      <c r="R1847" s="13"/>
      <c r="T1847" s="11"/>
    </row>
    <row r="1848" spans="1:20" ht="11.85" customHeight="1" x14ac:dyDescent="0.2">
      <c r="A1848" s="3" t="s">
        <v>950</v>
      </c>
      <c r="C1848" s="2">
        <v>14.44</v>
      </c>
      <c r="E1848" s="2">
        <v>994.86</v>
      </c>
      <c r="G1848" s="2">
        <v>644.07000000000005</v>
      </c>
      <c r="I1848" s="2">
        <v>1000</v>
      </c>
      <c r="K1848" s="2">
        <v>1000</v>
      </c>
      <c r="L1848" s="9"/>
      <c r="M1848" s="2">
        <v>1000</v>
      </c>
      <c r="N1848" s="9"/>
      <c r="O1848" s="2">
        <v>0</v>
      </c>
      <c r="P1848" s="9"/>
      <c r="Q1848" s="2">
        <f t="shared" si="66"/>
        <v>1000</v>
      </c>
      <c r="R1848" s="13"/>
      <c r="T1848" s="11"/>
    </row>
    <row r="1849" spans="1:20" ht="11.85" customHeight="1" x14ac:dyDescent="0.2">
      <c r="A1849" s="3" t="s">
        <v>951</v>
      </c>
      <c r="C1849" s="2">
        <v>0</v>
      </c>
      <c r="E1849" s="2">
        <v>88.88</v>
      </c>
      <c r="G1849" s="2">
        <v>2435.25</v>
      </c>
      <c r="I1849" s="2">
        <v>3500</v>
      </c>
      <c r="K1849" s="2">
        <v>3500</v>
      </c>
      <c r="L1849" s="9"/>
      <c r="M1849" s="2">
        <v>3500</v>
      </c>
      <c r="N1849" s="9"/>
      <c r="O1849" s="2">
        <v>0</v>
      </c>
      <c r="P1849" s="9"/>
      <c r="Q1849" s="2">
        <f t="shared" si="66"/>
        <v>3500</v>
      </c>
      <c r="R1849" s="13"/>
      <c r="T1849" s="11"/>
    </row>
    <row r="1850" spans="1:20" ht="11.85" customHeight="1" x14ac:dyDescent="0.2">
      <c r="A1850" s="3" t="s">
        <v>952</v>
      </c>
      <c r="C1850" s="2">
        <v>3038</v>
      </c>
      <c r="E1850" s="2">
        <v>0</v>
      </c>
      <c r="G1850" s="2">
        <v>0</v>
      </c>
      <c r="I1850" s="2">
        <v>0</v>
      </c>
      <c r="K1850" s="2">
        <v>0</v>
      </c>
      <c r="L1850" s="9"/>
      <c r="M1850" s="2">
        <v>0</v>
      </c>
      <c r="N1850" s="9"/>
      <c r="O1850" s="2">
        <v>0</v>
      </c>
      <c r="P1850" s="9"/>
      <c r="Q1850" s="2">
        <f t="shared" si="66"/>
        <v>0</v>
      </c>
      <c r="R1850" s="13"/>
      <c r="T1850" s="11"/>
    </row>
    <row r="1851" spans="1:20" ht="11.85" customHeight="1" x14ac:dyDescent="0.2">
      <c r="A1851" s="3" t="s">
        <v>953</v>
      </c>
      <c r="C1851" s="2">
        <v>1933.15</v>
      </c>
      <c r="E1851" s="2">
        <v>2508.0700000000002</v>
      </c>
      <c r="G1851" s="2">
        <v>2537.21</v>
      </c>
      <c r="I1851" s="2">
        <v>3000</v>
      </c>
      <c r="K1851" s="2">
        <v>3000</v>
      </c>
      <c r="L1851" s="9"/>
      <c r="M1851" s="2">
        <v>3000</v>
      </c>
      <c r="N1851" s="9"/>
      <c r="O1851" s="2">
        <v>0</v>
      </c>
      <c r="P1851" s="9"/>
      <c r="Q1851" s="2">
        <f t="shared" si="66"/>
        <v>3000</v>
      </c>
      <c r="R1851" s="13"/>
      <c r="T1851" s="11"/>
    </row>
    <row r="1852" spans="1:20" ht="11.85" customHeight="1" x14ac:dyDescent="0.2">
      <c r="A1852" s="3" t="s">
        <v>954</v>
      </c>
      <c r="C1852" s="2">
        <v>1037.29</v>
      </c>
      <c r="E1852" s="2">
        <v>986.05</v>
      </c>
      <c r="G1852" s="2">
        <v>1371.07</v>
      </c>
      <c r="I1852" s="2">
        <v>2500</v>
      </c>
      <c r="K1852" s="2">
        <v>2500</v>
      </c>
      <c r="L1852" s="9"/>
      <c r="M1852" s="2">
        <v>2500</v>
      </c>
      <c r="N1852" s="9"/>
      <c r="O1852" s="2">
        <v>0</v>
      </c>
      <c r="P1852" s="9"/>
      <c r="Q1852" s="2">
        <f t="shared" si="66"/>
        <v>2500</v>
      </c>
      <c r="R1852" s="13"/>
      <c r="T1852" s="11"/>
    </row>
    <row r="1853" spans="1:20" ht="11.85" hidden="1" customHeight="1" x14ac:dyDescent="0.2">
      <c r="A1853" s="3" t="s">
        <v>955</v>
      </c>
      <c r="C1853" s="2">
        <v>0</v>
      </c>
      <c r="E1853" s="2">
        <v>0</v>
      </c>
      <c r="G1853" s="2">
        <v>0</v>
      </c>
      <c r="I1853" s="2">
        <v>0</v>
      </c>
      <c r="K1853" s="2">
        <v>0</v>
      </c>
      <c r="L1853" s="9"/>
      <c r="M1853" s="2">
        <v>0</v>
      </c>
      <c r="N1853" s="9"/>
      <c r="O1853" s="2">
        <v>0</v>
      </c>
      <c r="P1853" s="9"/>
      <c r="Q1853" s="2">
        <f t="shared" si="66"/>
        <v>0</v>
      </c>
      <c r="R1853" s="13"/>
      <c r="T1853" s="11"/>
    </row>
    <row r="1854" spans="1:20" ht="11.85" customHeight="1" x14ac:dyDescent="0.2">
      <c r="A1854" s="3" t="s">
        <v>956</v>
      </c>
      <c r="C1854" s="2">
        <v>2970.4</v>
      </c>
      <c r="E1854" s="2">
        <v>790.48</v>
      </c>
      <c r="G1854" s="2">
        <v>0</v>
      </c>
      <c r="I1854" s="2">
        <v>5500</v>
      </c>
      <c r="K1854" s="2">
        <v>5500</v>
      </c>
      <c r="L1854" s="9"/>
      <c r="M1854" s="2">
        <v>5500</v>
      </c>
      <c r="N1854" s="9"/>
      <c r="O1854" s="2">
        <v>0</v>
      </c>
      <c r="P1854" s="9"/>
      <c r="Q1854" s="2">
        <f t="shared" si="66"/>
        <v>5500</v>
      </c>
      <c r="R1854" s="13"/>
      <c r="T1854" s="11"/>
    </row>
    <row r="1855" spans="1:20" ht="11.85" customHeight="1" x14ac:dyDescent="0.2">
      <c r="A1855" s="3" t="s">
        <v>957</v>
      </c>
      <c r="C1855" s="2">
        <v>38811.379999999997</v>
      </c>
      <c r="E1855" s="2">
        <v>40093.919999999998</v>
      </c>
      <c r="G1855" s="2">
        <v>45819.71</v>
      </c>
      <c r="I1855" s="2">
        <v>42000</v>
      </c>
      <c r="K1855" s="2">
        <v>42000</v>
      </c>
      <c r="L1855" s="9"/>
      <c r="M1855" s="2">
        <v>42000</v>
      </c>
      <c r="N1855" s="9"/>
      <c r="O1855" s="2">
        <v>0</v>
      </c>
      <c r="P1855" s="9"/>
      <c r="Q1855" s="2">
        <f t="shared" si="66"/>
        <v>42000</v>
      </c>
      <c r="R1855" s="13"/>
      <c r="T1855" s="11"/>
    </row>
    <row r="1856" spans="1:20" ht="11.85" hidden="1" customHeight="1" x14ac:dyDescent="0.2">
      <c r="A1856" s="3" t="s">
        <v>958</v>
      </c>
      <c r="C1856" s="2">
        <v>0</v>
      </c>
      <c r="E1856" s="2">
        <v>0</v>
      </c>
      <c r="G1856" s="2">
        <v>0</v>
      </c>
      <c r="I1856" s="2">
        <v>0</v>
      </c>
      <c r="K1856" s="2">
        <v>0</v>
      </c>
      <c r="L1856" s="9"/>
      <c r="M1856" s="2">
        <v>0</v>
      </c>
      <c r="N1856" s="9"/>
      <c r="O1856" s="2">
        <v>0</v>
      </c>
      <c r="P1856" s="9"/>
      <c r="Q1856" s="2">
        <f t="shared" si="66"/>
        <v>0</v>
      </c>
      <c r="R1856" s="13"/>
      <c r="T1856" s="11"/>
    </row>
    <row r="1857" spans="1:21" ht="11.85" hidden="1" customHeight="1" x14ac:dyDescent="0.2">
      <c r="A1857" s="3" t="s">
        <v>959</v>
      </c>
      <c r="C1857" s="2">
        <v>0</v>
      </c>
      <c r="E1857" s="2">
        <v>0</v>
      </c>
      <c r="G1857" s="2">
        <v>0</v>
      </c>
      <c r="I1857" s="2">
        <v>0</v>
      </c>
      <c r="K1857" s="2">
        <v>0</v>
      </c>
      <c r="L1857" s="9"/>
      <c r="M1857" s="2">
        <v>0</v>
      </c>
      <c r="N1857" s="9"/>
      <c r="O1857" s="2">
        <v>0</v>
      </c>
      <c r="P1857" s="9"/>
      <c r="Q1857" s="2">
        <f t="shared" si="66"/>
        <v>0</v>
      </c>
      <c r="R1857" s="13"/>
      <c r="T1857" s="11"/>
    </row>
    <row r="1858" spans="1:21" ht="11.85" customHeight="1" x14ac:dyDescent="0.2">
      <c r="A1858" s="3" t="s">
        <v>960</v>
      </c>
      <c r="C1858" s="2">
        <v>6469.81</v>
      </c>
      <c r="E1858" s="2">
        <v>9123.09</v>
      </c>
      <c r="G1858" s="2">
        <v>7859.69</v>
      </c>
      <c r="I1858" s="2">
        <v>4600</v>
      </c>
      <c r="K1858" s="2">
        <v>4600</v>
      </c>
      <c r="L1858" s="9"/>
      <c r="M1858" s="2">
        <f>14000-11000</f>
        <v>3000</v>
      </c>
      <c r="N1858" s="9"/>
      <c r="O1858" s="2">
        <v>0</v>
      </c>
      <c r="P1858" s="9"/>
      <c r="Q1858" s="2">
        <f t="shared" si="66"/>
        <v>3000</v>
      </c>
      <c r="R1858" s="13"/>
      <c r="T1858" s="11"/>
    </row>
    <row r="1859" spans="1:21" ht="11.85" customHeight="1" x14ac:dyDescent="0.2">
      <c r="A1859" s="3" t="s">
        <v>961</v>
      </c>
      <c r="C1859" s="12">
        <v>80978.600000000006</v>
      </c>
      <c r="E1859" s="12">
        <v>97861.05</v>
      </c>
      <c r="G1859" s="12">
        <v>114914.89</v>
      </c>
      <c r="I1859" s="12">
        <v>106000</v>
      </c>
      <c r="K1859" s="12">
        <v>106000</v>
      </c>
      <c r="L1859" s="9"/>
      <c r="M1859" s="12">
        <f>94000-47000</f>
        <v>47000</v>
      </c>
      <c r="N1859" s="9"/>
      <c r="O1859" s="12">
        <v>8800</v>
      </c>
      <c r="P1859" s="9"/>
      <c r="Q1859" s="12">
        <f t="shared" si="66"/>
        <v>55800</v>
      </c>
      <c r="R1859" s="13"/>
      <c r="T1859" s="11"/>
    </row>
    <row r="1860" spans="1:21" ht="11.85" customHeight="1" x14ac:dyDescent="0.2">
      <c r="A1860" s="3" t="s">
        <v>328</v>
      </c>
      <c r="C1860" s="2">
        <f>SUM(C1841:C1845)+SUM(C1846:C1859)</f>
        <v>155380.77000000002</v>
      </c>
      <c r="E1860" s="2">
        <f>SUM(E1841:E1845)+SUM(E1846:E1859)</f>
        <v>181572.53000000003</v>
      </c>
      <c r="G1860" s="2">
        <f>SUM(G1841:G1845)+SUM(G1846:G1859)</f>
        <v>210222.97999999998</v>
      </c>
      <c r="I1860" s="2">
        <f>SUM(I1841:I1845)+SUM(I1846:I1859)</f>
        <v>225000</v>
      </c>
      <c r="K1860" s="2">
        <f>SUM(K1841:K1845)+SUM(K1846:K1859)</f>
        <v>227000</v>
      </c>
      <c r="L1860" s="9"/>
      <c r="M1860" s="2">
        <f>SUM(M1841:M1845)+SUM(M1846:M1859)</f>
        <v>166400</v>
      </c>
      <c r="N1860" s="9"/>
      <c r="O1860" s="2">
        <f>SUM(O1841:O1845)+SUM(O1846:O1859)</f>
        <v>8800</v>
      </c>
      <c r="P1860" s="9"/>
      <c r="Q1860" s="2">
        <f>SUM(Q1841:Q1845)+SUM(Q1846:Q1859)</f>
        <v>175200</v>
      </c>
      <c r="R1860" s="13"/>
      <c r="U1860" s="9"/>
    </row>
    <row r="1861" spans="1:21" ht="11.85" customHeight="1" x14ac:dyDescent="0.2">
      <c r="L1861" s="9"/>
      <c r="N1861" s="9"/>
      <c r="P1861" s="9"/>
      <c r="R1861" s="13"/>
    </row>
    <row r="1862" spans="1:21" ht="11.85" customHeight="1" x14ac:dyDescent="0.2">
      <c r="L1862" s="9"/>
      <c r="N1862" s="9"/>
      <c r="P1862" s="9"/>
    </row>
    <row r="1863" spans="1:21" ht="11.85" customHeight="1" x14ac:dyDescent="0.2">
      <c r="L1863" s="9"/>
      <c r="N1863" s="9"/>
      <c r="P1863" s="9"/>
    </row>
    <row r="1864" spans="1:21" ht="11.85" customHeight="1" x14ac:dyDescent="0.2">
      <c r="L1864" s="9"/>
      <c r="N1864" s="9"/>
      <c r="P1864" s="9"/>
    </row>
    <row r="1865" spans="1:21" ht="11.85" customHeight="1" x14ac:dyDescent="0.2">
      <c r="A1865" s="1"/>
      <c r="B1865" s="1"/>
      <c r="E1865" s="2" t="str">
        <f>$E$1</f>
        <v>CITY OF BRADY</v>
      </c>
    </row>
    <row r="1866" spans="1:21" ht="11.85" customHeight="1" x14ac:dyDescent="0.2">
      <c r="E1866" s="2" t="str">
        <f>$E$2</f>
        <v>BUDGET REPORT</v>
      </c>
    </row>
    <row r="1867" spans="1:21" ht="11.85" customHeight="1" x14ac:dyDescent="0.2">
      <c r="E1867" s="2" t="str">
        <f>$E$3</f>
        <v>FISCAL YEAR 2024 - 2025</v>
      </c>
    </row>
    <row r="1868" spans="1:21" ht="11.85" customHeight="1" x14ac:dyDescent="0.2">
      <c r="A1868" s="3" t="s">
        <v>3</v>
      </c>
    </row>
    <row r="1869" spans="1:21" ht="11.85" customHeight="1" x14ac:dyDescent="0.2">
      <c r="A1869" s="3" t="s">
        <v>919</v>
      </c>
    </row>
    <row r="1870" spans="1:21" ht="11.85" customHeight="1" x14ac:dyDescent="0.2">
      <c r="I1870" s="53" t="str">
        <f>$I$6</f>
        <v>(----- 2023-2024------)</v>
      </c>
      <c r="J1870" s="53"/>
      <c r="K1870" s="53"/>
      <c r="L1870" s="6"/>
      <c r="M1870" s="54" t="str">
        <f>$M$6</f>
        <v>2024-2025</v>
      </c>
      <c r="N1870" s="54"/>
      <c r="O1870" s="54"/>
      <c r="P1870" s="54"/>
      <c r="Q1870" s="54"/>
    </row>
    <row r="1871" spans="1:21" ht="11.85" customHeight="1" x14ac:dyDescent="0.2">
      <c r="C1871" s="5" t="str">
        <f>$C$7</f>
        <v>2020-2021</v>
      </c>
      <c r="D1871" s="5"/>
      <c r="E1871" s="5" t="str">
        <f>$E$7</f>
        <v>2021-2022</v>
      </c>
      <c r="F1871" s="5"/>
      <c r="G1871" s="5" t="str">
        <f>$G$7</f>
        <v>2022-2023</v>
      </c>
      <c r="H1871" s="5"/>
      <c r="I1871" s="5" t="s">
        <v>9</v>
      </c>
      <c r="J1871" s="5"/>
      <c r="K1871" s="5" t="str">
        <f>+$K$7</f>
        <v>PROJECTED</v>
      </c>
      <c r="L1871" s="6"/>
      <c r="M1871" s="5">
        <f>$M$7</f>
        <v>0</v>
      </c>
      <c r="N1871" s="6"/>
      <c r="O1871" s="5" t="str">
        <f>$O$7</f>
        <v>2024-2025</v>
      </c>
      <c r="P1871" s="6"/>
      <c r="Q1871" s="5" t="str">
        <f>$Q$7</f>
        <v>APPROVED</v>
      </c>
    </row>
    <row r="1872" spans="1:21" ht="11.85" customHeight="1" x14ac:dyDescent="0.2">
      <c r="A1872" s="7" t="s">
        <v>273</v>
      </c>
      <c r="C1872" s="8" t="s">
        <v>12</v>
      </c>
      <c r="D1872" s="5"/>
      <c r="E1872" s="8" t="s">
        <v>12</v>
      </c>
      <c r="F1872" s="5"/>
      <c r="G1872" s="8" t="s">
        <v>12</v>
      </c>
      <c r="H1872" s="5"/>
      <c r="I1872" s="8" t="s">
        <v>13</v>
      </c>
      <c r="J1872" s="5"/>
      <c r="K1872" s="8" t="s">
        <v>13</v>
      </c>
      <c r="L1872" s="6"/>
      <c r="M1872" s="8" t="str">
        <f>$M$8</f>
        <v>BASE</v>
      </c>
      <c r="N1872" s="6"/>
      <c r="O1872" s="8" t="str">
        <f>$O$8</f>
        <v>SUPPLEMENTAL</v>
      </c>
      <c r="P1872" s="6"/>
      <c r="Q1872" s="8" t="str">
        <f>$Q$8</f>
        <v>BUDGET</v>
      </c>
    </row>
    <row r="1873" spans="1:21" ht="11.85" customHeight="1" x14ac:dyDescent="0.2">
      <c r="L1873" s="9"/>
      <c r="N1873" s="9"/>
      <c r="P1873" s="9"/>
    </row>
    <row r="1874" spans="1:21" ht="11.85" customHeight="1" x14ac:dyDescent="0.2">
      <c r="A1874" s="3" t="s">
        <v>962</v>
      </c>
      <c r="C1874" s="2">
        <v>0</v>
      </c>
      <c r="E1874" s="2">
        <v>0</v>
      </c>
      <c r="G1874" s="2">
        <v>0</v>
      </c>
      <c r="I1874" s="2">
        <v>0</v>
      </c>
      <c r="K1874" s="2">
        <v>0</v>
      </c>
      <c r="L1874" s="9"/>
      <c r="M1874" s="2">
        <v>0</v>
      </c>
      <c r="N1874" s="9"/>
      <c r="O1874" s="2">
        <v>0</v>
      </c>
      <c r="P1874" s="9"/>
      <c r="Q1874" s="2">
        <f>M1874+O1874</f>
        <v>0</v>
      </c>
      <c r="T1874" s="11"/>
    </row>
    <row r="1875" spans="1:21" ht="11.85" customHeight="1" x14ac:dyDescent="0.2">
      <c r="A1875" s="3" t="s">
        <v>963</v>
      </c>
      <c r="C1875" s="12">
        <v>0</v>
      </c>
      <c r="E1875" s="12">
        <v>0</v>
      </c>
      <c r="G1875" s="12">
        <v>0</v>
      </c>
      <c r="I1875" s="12">
        <v>3500</v>
      </c>
      <c r="K1875" s="12">
        <v>260920</v>
      </c>
      <c r="L1875" s="9"/>
      <c r="M1875" s="12">
        <v>0</v>
      </c>
      <c r="N1875" s="9"/>
      <c r="O1875" s="12">
        <v>44000</v>
      </c>
      <c r="P1875" s="9"/>
      <c r="Q1875" s="12">
        <f>M1875+O1875</f>
        <v>44000</v>
      </c>
      <c r="T1875" s="11"/>
    </row>
    <row r="1876" spans="1:21" ht="11.85" customHeight="1" x14ac:dyDescent="0.2">
      <c r="A1876" s="3" t="s">
        <v>331</v>
      </c>
      <c r="C1876" s="2">
        <f>SUM(C1874:C1875)</f>
        <v>0</v>
      </c>
      <c r="E1876" s="2">
        <f>SUM(E1874:E1875)</f>
        <v>0</v>
      </c>
      <c r="G1876" s="2">
        <f>SUM(G1874:G1875)</f>
        <v>0</v>
      </c>
      <c r="I1876" s="2">
        <f>SUM(I1874:I1875)</f>
        <v>3500</v>
      </c>
      <c r="K1876" s="2">
        <f>SUM(K1874:K1875)</f>
        <v>260920</v>
      </c>
      <c r="L1876" s="9"/>
      <c r="M1876" s="2">
        <f>SUM(M1874:M1875)</f>
        <v>0</v>
      </c>
      <c r="N1876" s="9"/>
      <c r="O1876" s="2">
        <f>SUM(O1874:O1875)</f>
        <v>44000</v>
      </c>
      <c r="P1876" s="9"/>
      <c r="Q1876" s="2">
        <f>SUM(Q1874:Q1875)</f>
        <v>44000</v>
      </c>
    </row>
    <row r="1877" spans="1:21" ht="11.85" customHeight="1" x14ac:dyDescent="0.2">
      <c r="L1877" s="9"/>
      <c r="N1877" s="9"/>
      <c r="P1877" s="9"/>
      <c r="T1877" s="14"/>
    </row>
    <row r="1878" spans="1:21" ht="11.85" customHeight="1" x14ac:dyDescent="0.2">
      <c r="A1878" s="3" t="s">
        <v>964</v>
      </c>
      <c r="C1878" s="2">
        <f>C1822+C1838+C1860+C1876</f>
        <v>1666082.3600000003</v>
      </c>
      <c r="E1878" s="2">
        <f>E1822+E1838+E1860+E1876</f>
        <v>1665057.5199999998</v>
      </c>
      <c r="G1878" s="2">
        <f>G1822+G1838+G1860+G1876</f>
        <v>1851972.31</v>
      </c>
      <c r="I1878" s="2">
        <f>I1822+I1838+I1860+I1876</f>
        <v>1938456</v>
      </c>
      <c r="K1878" s="2">
        <f>K1822+K1838+K1860+K1876</f>
        <v>2197876</v>
      </c>
      <c r="L1878" s="9"/>
      <c r="M1878" s="2">
        <f>M1822+M1838+M1860+M1876</f>
        <v>1908784</v>
      </c>
      <c r="N1878" s="9"/>
      <c r="O1878" s="2">
        <f>O1822+O1838+O1860+O1876</f>
        <v>142800</v>
      </c>
      <c r="P1878" s="9"/>
      <c r="Q1878" s="2">
        <f>Q1822+Q1838+Q1860+Q1876</f>
        <v>2051584</v>
      </c>
      <c r="R1878" s="9"/>
      <c r="T1878" s="11"/>
      <c r="U1878" s="9"/>
    </row>
    <row r="1879" spans="1:21" ht="11.85" customHeight="1" x14ac:dyDescent="0.2"/>
    <row r="1880" spans="1:21" ht="11.85" customHeight="1" x14ac:dyDescent="0.2"/>
    <row r="1881" spans="1:21" ht="11.85" customHeight="1" x14ac:dyDescent="0.2"/>
    <row r="1882" spans="1:21" ht="11.85" customHeight="1" x14ac:dyDescent="0.2"/>
    <row r="1883" spans="1:21" ht="11.85" customHeight="1" x14ac:dyDescent="0.2"/>
    <row r="1884" spans="1:21" ht="11.85" customHeight="1" x14ac:dyDescent="0.2"/>
    <row r="1885" spans="1:21" ht="11.85" customHeight="1" x14ac:dyDescent="0.2"/>
    <row r="1886" spans="1:21" ht="11.85" customHeight="1" x14ac:dyDescent="0.2"/>
    <row r="1887" spans="1:21" ht="11.85" customHeight="1" x14ac:dyDescent="0.2"/>
    <row r="1888" spans="1:21" ht="11.85" customHeight="1" x14ac:dyDescent="0.2"/>
    <row r="1889" ht="11.85" customHeight="1" x14ac:dyDescent="0.2"/>
    <row r="1890" ht="11.85" customHeight="1" x14ac:dyDescent="0.2"/>
    <row r="1891" ht="11.85" customHeight="1" x14ac:dyDescent="0.2"/>
    <row r="1892" ht="11.85" customHeight="1" x14ac:dyDescent="0.2"/>
    <row r="1893" ht="11.85" customHeight="1" x14ac:dyDescent="0.2"/>
    <row r="1894" ht="11.85" customHeight="1" x14ac:dyDescent="0.2"/>
    <row r="1895" ht="11.85" customHeight="1" x14ac:dyDescent="0.2"/>
    <row r="1896" ht="11.85" customHeight="1" x14ac:dyDescent="0.2"/>
    <row r="1897" ht="11.85" customHeight="1" x14ac:dyDescent="0.2"/>
    <row r="1898" ht="11.85" customHeight="1" x14ac:dyDescent="0.2"/>
    <row r="1899" ht="11.85" customHeight="1" x14ac:dyDescent="0.2"/>
    <row r="1900" ht="11.85" customHeight="1" x14ac:dyDescent="0.2"/>
    <row r="1901" ht="11.85" customHeight="1" x14ac:dyDescent="0.2"/>
    <row r="1902" ht="11.85" customHeight="1" x14ac:dyDescent="0.2"/>
    <row r="1903" ht="11.85" customHeight="1" x14ac:dyDescent="0.2"/>
    <row r="1904" ht="11.85" customHeight="1" x14ac:dyDescent="0.2"/>
    <row r="1905" ht="11.85" customHeight="1" x14ac:dyDescent="0.2"/>
    <row r="1906" ht="11.85" customHeight="1" x14ac:dyDescent="0.2"/>
    <row r="1907" ht="11.85" customHeight="1" x14ac:dyDescent="0.2"/>
    <row r="1908" ht="11.85" customHeight="1" x14ac:dyDescent="0.2"/>
    <row r="1909" ht="11.85" customHeight="1" x14ac:dyDescent="0.2"/>
    <row r="1910" ht="11.85" customHeight="1" x14ac:dyDescent="0.2"/>
    <row r="1911" ht="11.85" customHeight="1" x14ac:dyDescent="0.2"/>
    <row r="1912" ht="11.85" customHeight="1" x14ac:dyDescent="0.2"/>
    <row r="1913" ht="11.85" customHeight="1" x14ac:dyDescent="0.2"/>
    <row r="1914" ht="11.85" customHeight="1" x14ac:dyDescent="0.2"/>
    <row r="1915" ht="11.85" customHeight="1" x14ac:dyDescent="0.2"/>
    <row r="1916" ht="11.85" customHeight="1" x14ac:dyDescent="0.2"/>
    <row r="1917" ht="11.85" customHeight="1" x14ac:dyDescent="0.2"/>
    <row r="1918" ht="11.85" customHeight="1" x14ac:dyDescent="0.2"/>
    <row r="1919" ht="11.85" customHeight="1" x14ac:dyDescent="0.2"/>
    <row r="1920" ht="11.85" customHeight="1" x14ac:dyDescent="0.2"/>
    <row r="1921" spans="1:17" ht="11.85" customHeight="1" x14ac:dyDescent="0.2"/>
    <row r="1922" spans="1:17" ht="11.85" customHeight="1" x14ac:dyDescent="0.2"/>
    <row r="1923" spans="1:17" ht="11.85" customHeight="1" x14ac:dyDescent="0.2"/>
    <row r="1924" spans="1:17" ht="11.85" customHeight="1" x14ac:dyDescent="0.2"/>
    <row r="1925" spans="1:17" ht="11.85" customHeight="1" x14ac:dyDescent="0.2"/>
    <row r="1926" spans="1:17" ht="11.85" customHeight="1" x14ac:dyDescent="0.2"/>
    <row r="1927" spans="1:17" ht="11.85" customHeight="1" x14ac:dyDescent="0.2"/>
    <row r="1928" spans="1:17" ht="11.85" customHeight="1" x14ac:dyDescent="0.2">
      <c r="A1928" s="1"/>
      <c r="B1928" s="1"/>
      <c r="E1928" s="2" t="str">
        <f>$E$1</f>
        <v>CITY OF BRADY</v>
      </c>
    </row>
    <row r="1929" spans="1:17" ht="11.85" customHeight="1" x14ac:dyDescent="0.2">
      <c r="E1929" s="2" t="str">
        <f>$E$2</f>
        <v>BUDGET REPORT</v>
      </c>
    </row>
    <row r="1930" spans="1:17" ht="11.85" customHeight="1" x14ac:dyDescent="0.2">
      <c r="E1930" s="2" t="str">
        <f>$E$3</f>
        <v>FISCAL YEAR 2024 - 2025</v>
      </c>
    </row>
    <row r="1931" spans="1:17" ht="11.85" customHeight="1" x14ac:dyDescent="0.2">
      <c r="A1931" s="3" t="s">
        <v>3</v>
      </c>
    </row>
    <row r="1932" spans="1:17" ht="11.85" customHeight="1" x14ac:dyDescent="0.2">
      <c r="A1932" s="3" t="s">
        <v>965</v>
      </c>
    </row>
    <row r="1933" spans="1:17" ht="11.85" customHeight="1" x14ac:dyDescent="0.2">
      <c r="I1933" s="53" t="str">
        <f>$I$6</f>
        <v>(----- 2023-2024------)</v>
      </c>
      <c r="J1933" s="53"/>
      <c r="K1933" s="53"/>
      <c r="L1933" s="6"/>
      <c r="M1933" s="54" t="str">
        <f>$M$6</f>
        <v>2024-2025</v>
      </c>
      <c r="N1933" s="54"/>
      <c r="O1933" s="54"/>
      <c r="P1933" s="54"/>
      <c r="Q1933" s="54"/>
    </row>
    <row r="1934" spans="1:17" ht="11.85" customHeight="1" x14ac:dyDescent="0.2">
      <c r="C1934" s="5" t="str">
        <f>$C$7</f>
        <v>2020-2021</v>
      </c>
      <c r="D1934" s="5"/>
      <c r="E1934" s="5" t="str">
        <f>$E$7</f>
        <v>2021-2022</v>
      </c>
      <c r="F1934" s="5"/>
      <c r="G1934" s="5" t="str">
        <f>$G$7</f>
        <v>2022-2023</v>
      </c>
      <c r="H1934" s="5"/>
      <c r="I1934" s="5" t="s">
        <v>9</v>
      </c>
      <c r="J1934" s="5"/>
      <c r="K1934" s="5" t="str">
        <f>+$K$7</f>
        <v>PROJECTED</v>
      </c>
      <c r="L1934" s="6"/>
      <c r="M1934" s="5">
        <f>$M$7</f>
        <v>0</v>
      </c>
      <c r="N1934" s="6"/>
      <c r="O1934" s="5" t="str">
        <f>$O$7</f>
        <v>2024-2025</v>
      </c>
      <c r="P1934" s="6"/>
      <c r="Q1934" s="5" t="str">
        <f>$Q$7</f>
        <v>APPROVED</v>
      </c>
    </row>
    <row r="1935" spans="1:17" ht="11.85" customHeight="1" x14ac:dyDescent="0.2">
      <c r="A1935" s="7" t="s">
        <v>273</v>
      </c>
      <c r="C1935" s="8" t="s">
        <v>12</v>
      </c>
      <c r="D1935" s="5"/>
      <c r="E1935" s="8" t="s">
        <v>12</v>
      </c>
      <c r="F1935" s="5"/>
      <c r="G1935" s="8" t="s">
        <v>12</v>
      </c>
      <c r="H1935" s="5"/>
      <c r="I1935" s="8" t="s">
        <v>13</v>
      </c>
      <c r="J1935" s="5"/>
      <c r="K1935" s="8" t="s">
        <v>13</v>
      </c>
      <c r="L1935" s="6"/>
      <c r="M1935" s="8" t="str">
        <f>$M$8</f>
        <v>BASE</v>
      </c>
      <c r="N1935" s="6"/>
      <c r="O1935" s="8" t="str">
        <f>$O$8</f>
        <v>SUPPLEMENTAL</v>
      </c>
      <c r="P1935" s="6"/>
      <c r="Q1935" s="8" t="str">
        <f>$Q$8</f>
        <v>BUDGET</v>
      </c>
    </row>
    <row r="1936" spans="1:17" ht="11.85" customHeight="1" x14ac:dyDescent="0.2"/>
    <row r="1937" spans="1:21" ht="11.85" customHeight="1" x14ac:dyDescent="0.2">
      <c r="A1937" s="10" t="s">
        <v>274</v>
      </c>
    </row>
    <row r="1938" spans="1:21" ht="11.85" customHeight="1" x14ac:dyDescent="0.2">
      <c r="A1938" s="3" t="s">
        <v>966</v>
      </c>
      <c r="C1938" s="2">
        <v>71475.460000000006</v>
      </c>
      <c r="E1938" s="2">
        <v>62663.99</v>
      </c>
      <c r="G1938" s="2">
        <v>84023.4</v>
      </c>
      <c r="I1938" s="2">
        <v>89975</v>
      </c>
      <c r="K1938" s="2">
        <v>89975</v>
      </c>
      <c r="L1938" s="9"/>
      <c r="M1938" s="2">
        <v>91685</v>
      </c>
      <c r="N1938" s="9"/>
      <c r="O1938" s="2">
        <v>0</v>
      </c>
      <c r="P1938" s="9"/>
      <c r="Q1938" s="2">
        <f t="shared" ref="Q1938:Q1946" si="67">M1938+O1938</f>
        <v>91685</v>
      </c>
      <c r="T1938" s="11"/>
    </row>
    <row r="1939" spans="1:21" ht="11.85" customHeight="1" x14ac:dyDescent="0.2">
      <c r="A1939" s="3" t="s">
        <v>967</v>
      </c>
      <c r="C1939" s="2">
        <v>1211.9000000000001</v>
      </c>
      <c r="E1939" s="2">
        <v>1262.8900000000001</v>
      </c>
      <c r="G1939" s="2">
        <v>1979.28</v>
      </c>
      <c r="I1939" s="2">
        <v>2000</v>
      </c>
      <c r="K1939" s="2">
        <v>2000</v>
      </c>
      <c r="L1939" s="9"/>
      <c r="M1939" s="2">
        <v>2000</v>
      </c>
      <c r="N1939" s="9"/>
      <c r="O1939" s="2">
        <v>0</v>
      </c>
      <c r="P1939" s="9"/>
      <c r="Q1939" s="2">
        <f t="shared" si="67"/>
        <v>2000</v>
      </c>
      <c r="T1939" s="11"/>
    </row>
    <row r="1940" spans="1:21" ht="11.85" customHeight="1" x14ac:dyDescent="0.2">
      <c r="A1940" s="3" t="s">
        <v>968</v>
      </c>
      <c r="C1940" s="2">
        <v>0</v>
      </c>
      <c r="E1940" s="2">
        <v>0</v>
      </c>
      <c r="G1940" s="2">
        <v>0</v>
      </c>
      <c r="I1940" s="2">
        <v>0</v>
      </c>
      <c r="K1940" s="2">
        <v>0</v>
      </c>
      <c r="L1940" s="9"/>
      <c r="M1940" s="2">
        <v>0</v>
      </c>
      <c r="N1940" s="9"/>
      <c r="O1940" s="2">
        <v>0</v>
      </c>
      <c r="P1940" s="9"/>
      <c r="Q1940" s="2">
        <f>M1940+O1940</f>
        <v>0</v>
      </c>
      <c r="T1940" s="11"/>
    </row>
    <row r="1941" spans="1:21" ht="11.85" customHeight="1" x14ac:dyDescent="0.2">
      <c r="A1941" s="3" t="s">
        <v>969</v>
      </c>
      <c r="C1941" s="2">
        <v>0</v>
      </c>
      <c r="E1941" s="2">
        <v>0</v>
      </c>
      <c r="G1941" s="2">
        <v>0</v>
      </c>
      <c r="I1941" s="2">
        <v>0</v>
      </c>
      <c r="K1941" s="2">
        <v>0</v>
      </c>
      <c r="L1941" s="9"/>
      <c r="M1941" s="2">
        <v>0</v>
      </c>
      <c r="N1941" s="9"/>
      <c r="O1941" s="2">
        <v>0</v>
      </c>
      <c r="P1941" s="9"/>
      <c r="Q1941" s="2">
        <f t="shared" si="67"/>
        <v>0</v>
      </c>
      <c r="T1941" s="11"/>
    </row>
    <row r="1942" spans="1:21" ht="11.85" customHeight="1" x14ac:dyDescent="0.2">
      <c r="A1942" s="3" t="s">
        <v>970</v>
      </c>
      <c r="C1942" s="2">
        <v>22609.279999999999</v>
      </c>
      <c r="E1942" s="2">
        <v>21588.959999999999</v>
      </c>
      <c r="G1942" s="2">
        <v>21574.53</v>
      </c>
      <c r="I1942" s="2">
        <v>22920</v>
      </c>
      <c r="K1942" s="2">
        <f>22920-4414</f>
        <v>18506</v>
      </c>
      <c r="L1942" s="9"/>
      <c r="M1942" s="2">
        <v>20283</v>
      </c>
      <c r="N1942" s="9"/>
      <c r="O1942" s="2">
        <v>0</v>
      </c>
      <c r="P1942" s="9"/>
      <c r="Q1942" s="2">
        <f t="shared" si="67"/>
        <v>20283</v>
      </c>
      <c r="T1942" s="11"/>
    </row>
    <row r="1943" spans="1:21" ht="11.85" customHeight="1" x14ac:dyDescent="0.2">
      <c r="A1943" s="3" t="s">
        <v>971</v>
      </c>
      <c r="C1943" s="2">
        <v>5071.79</v>
      </c>
      <c r="E1943" s="2">
        <v>5115.04</v>
      </c>
      <c r="G1943" s="2">
        <v>6773.1</v>
      </c>
      <c r="I1943" s="2">
        <v>7128</v>
      </c>
      <c r="K1943" s="2">
        <v>7128</v>
      </c>
      <c r="L1943" s="9"/>
      <c r="M1943" s="2">
        <v>7157</v>
      </c>
      <c r="N1943" s="9"/>
      <c r="O1943" s="2">
        <v>0</v>
      </c>
      <c r="P1943" s="9"/>
      <c r="Q1943" s="2">
        <f t="shared" si="67"/>
        <v>7157</v>
      </c>
      <c r="T1943" s="11"/>
    </row>
    <row r="1944" spans="1:21" ht="11.85" customHeight="1" x14ac:dyDescent="0.2">
      <c r="A1944" s="3" t="s">
        <v>972</v>
      </c>
      <c r="C1944" s="2">
        <v>2959.16</v>
      </c>
      <c r="E1944" s="2">
        <v>3017.31</v>
      </c>
      <c r="G1944" s="2">
        <v>3346.52</v>
      </c>
      <c r="I1944" s="2">
        <v>3500</v>
      </c>
      <c r="K1944" s="2">
        <v>3500</v>
      </c>
      <c r="L1944" s="9"/>
      <c r="M1944" s="2">
        <v>2455</v>
      </c>
      <c r="N1944" s="9"/>
      <c r="O1944" s="2">
        <v>0</v>
      </c>
      <c r="P1944" s="9"/>
      <c r="Q1944" s="2">
        <f t="shared" si="67"/>
        <v>2455</v>
      </c>
      <c r="T1944" s="11"/>
    </row>
    <row r="1945" spans="1:21" ht="11.85" customHeight="1" x14ac:dyDescent="0.2">
      <c r="A1945" s="3" t="s">
        <v>973</v>
      </c>
      <c r="C1945" s="2">
        <v>932.98</v>
      </c>
      <c r="E1945" s="2">
        <v>64.23</v>
      </c>
      <c r="G1945" s="2">
        <v>32.380000000000003</v>
      </c>
      <c r="I1945" s="2">
        <v>335</v>
      </c>
      <c r="K1945" s="2">
        <v>335</v>
      </c>
      <c r="L1945" s="9"/>
      <c r="M1945" s="2">
        <v>360</v>
      </c>
      <c r="N1945" s="9"/>
      <c r="O1945" s="2">
        <v>0</v>
      </c>
      <c r="P1945" s="9"/>
      <c r="Q1945" s="2">
        <f t="shared" si="67"/>
        <v>360</v>
      </c>
      <c r="T1945" s="11"/>
    </row>
    <row r="1946" spans="1:21" ht="11.85" customHeight="1" x14ac:dyDescent="0.2">
      <c r="A1946" s="3" t="s">
        <v>974</v>
      </c>
      <c r="C1946" s="12">
        <v>5335.1</v>
      </c>
      <c r="E1946" s="12">
        <v>5015.08</v>
      </c>
      <c r="G1946" s="12">
        <v>6513.52</v>
      </c>
      <c r="I1946" s="12">
        <v>7174</v>
      </c>
      <c r="K1946" s="12">
        <v>7174</v>
      </c>
      <c r="L1946" s="9"/>
      <c r="M1946" s="12">
        <v>7307</v>
      </c>
      <c r="N1946" s="9"/>
      <c r="O1946" s="12">
        <v>0</v>
      </c>
      <c r="P1946" s="9"/>
      <c r="Q1946" s="12">
        <f t="shared" si="67"/>
        <v>7307</v>
      </c>
      <c r="T1946" s="11"/>
    </row>
    <row r="1947" spans="1:21" ht="11.85" customHeight="1" x14ac:dyDescent="0.2">
      <c r="A1947" s="3" t="s">
        <v>285</v>
      </c>
      <c r="C1947" s="2">
        <f>SUM(C1938:C1946)</f>
        <v>109595.67</v>
      </c>
      <c r="E1947" s="2">
        <f>SUM(E1938:E1946)</f>
        <v>98727.499999999985</v>
      </c>
      <c r="G1947" s="2">
        <f>SUM(G1938:G1946)</f>
        <v>124242.73000000001</v>
      </c>
      <c r="I1947" s="2">
        <f>SUM(I1938:I1946)</f>
        <v>133032</v>
      </c>
      <c r="K1947" s="2">
        <f>SUM(K1938:K1946)</f>
        <v>128618</v>
      </c>
      <c r="L1947" s="9"/>
      <c r="M1947" s="2">
        <f>SUM(M1938:M1946)</f>
        <v>131247</v>
      </c>
      <c r="N1947" s="9"/>
      <c r="O1947" s="2">
        <f>SUM(O1938:O1946)</f>
        <v>0</v>
      </c>
      <c r="P1947" s="9"/>
      <c r="Q1947" s="2">
        <f>SUM(Q1938:Q1946)</f>
        <v>131247</v>
      </c>
      <c r="R1947" s="9"/>
      <c r="T1947" s="14"/>
      <c r="U1947" s="9"/>
    </row>
    <row r="1948" spans="1:21" ht="11.85" customHeight="1" x14ac:dyDescent="0.2">
      <c r="L1948" s="9"/>
      <c r="N1948" s="9"/>
      <c r="P1948" s="9"/>
    </row>
    <row r="1949" spans="1:21" ht="11.85" customHeight="1" x14ac:dyDescent="0.2">
      <c r="A1949" s="10" t="s">
        <v>286</v>
      </c>
      <c r="L1949" s="9"/>
      <c r="N1949" s="9"/>
      <c r="P1949" s="9"/>
    </row>
    <row r="1950" spans="1:21" ht="11.85" customHeight="1" x14ac:dyDescent="0.2">
      <c r="A1950" s="3" t="s">
        <v>975</v>
      </c>
      <c r="C1950" s="2">
        <v>0</v>
      </c>
      <c r="E1950" s="2">
        <v>0</v>
      </c>
      <c r="G1950" s="2">
        <v>0</v>
      </c>
      <c r="I1950" s="2">
        <v>0</v>
      </c>
      <c r="K1950" s="2">
        <v>0</v>
      </c>
      <c r="L1950" s="9"/>
      <c r="M1950" s="2">
        <v>0</v>
      </c>
      <c r="N1950" s="9"/>
      <c r="O1950" s="2">
        <v>0</v>
      </c>
      <c r="P1950" s="9"/>
      <c r="Q1950" s="2">
        <f t="shared" ref="Q1950:Q1964" si="68">M1950+O1950</f>
        <v>0</v>
      </c>
      <c r="T1950" s="11"/>
    </row>
    <row r="1951" spans="1:21" ht="11.85" customHeight="1" x14ac:dyDescent="0.2">
      <c r="A1951" s="3" t="s">
        <v>976</v>
      </c>
      <c r="C1951" s="2">
        <v>49651.64</v>
      </c>
      <c r="E1951" s="2">
        <v>53123.9</v>
      </c>
      <c r="G1951" s="2">
        <v>51695.7</v>
      </c>
      <c r="I1951" s="2">
        <v>50000</v>
      </c>
      <c r="K1951" s="2">
        <v>50000</v>
      </c>
      <c r="L1951" s="9"/>
      <c r="M1951" s="2">
        <v>50000</v>
      </c>
      <c r="N1951" s="9"/>
      <c r="O1951" s="2">
        <v>0</v>
      </c>
      <c r="P1951" s="9"/>
      <c r="Q1951" s="2">
        <f t="shared" si="68"/>
        <v>50000</v>
      </c>
      <c r="T1951" s="11"/>
    </row>
    <row r="1952" spans="1:21" ht="11.85" customHeight="1" x14ac:dyDescent="0.2">
      <c r="A1952" s="3" t="s">
        <v>977</v>
      </c>
      <c r="C1952" s="2">
        <v>990</v>
      </c>
      <c r="E1952" s="2">
        <v>0</v>
      </c>
      <c r="G1952" s="2">
        <v>0</v>
      </c>
      <c r="I1952" s="2">
        <v>0</v>
      </c>
      <c r="K1952" s="2">
        <v>10000</v>
      </c>
      <c r="L1952" s="9"/>
      <c r="M1952" s="2">
        <v>0</v>
      </c>
      <c r="N1952" s="9"/>
      <c r="O1952" s="2">
        <v>0</v>
      </c>
      <c r="P1952" s="9"/>
      <c r="Q1952" s="2">
        <f t="shared" si="68"/>
        <v>0</v>
      </c>
      <c r="T1952" s="11"/>
    </row>
    <row r="1953" spans="1:20" ht="11.85" hidden="1" customHeight="1" x14ac:dyDescent="0.2">
      <c r="A1953" s="3" t="s">
        <v>978</v>
      </c>
      <c r="C1953" s="2">
        <v>0</v>
      </c>
      <c r="E1953" s="2">
        <v>0</v>
      </c>
      <c r="G1953" s="2">
        <v>0</v>
      </c>
      <c r="I1953" s="2">
        <v>0</v>
      </c>
      <c r="K1953" s="2">
        <v>0</v>
      </c>
      <c r="L1953" s="9"/>
      <c r="M1953" s="2">
        <v>0</v>
      </c>
      <c r="N1953" s="9"/>
      <c r="O1953" s="2">
        <v>0</v>
      </c>
      <c r="P1953" s="9"/>
      <c r="Q1953" s="2">
        <f t="shared" si="68"/>
        <v>0</v>
      </c>
      <c r="T1953" s="11"/>
    </row>
    <row r="1954" spans="1:20" ht="11.85" hidden="1" customHeight="1" x14ac:dyDescent="0.2">
      <c r="A1954" s="3" t="s">
        <v>979</v>
      </c>
      <c r="C1954" s="2">
        <v>0</v>
      </c>
      <c r="E1954" s="2">
        <v>0</v>
      </c>
      <c r="G1954" s="2">
        <v>0</v>
      </c>
      <c r="I1954" s="2">
        <v>0</v>
      </c>
      <c r="K1954" s="2">
        <v>0</v>
      </c>
      <c r="L1954" s="9"/>
      <c r="M1954" s="2">
        <v>0</v>
      </c>
      <c r="N1954" s="9"/>
      <c r="O1954" s="2">
        <v>0</v>
      </c>
      <c r="P1954" s="9"/>
      <c r="Q1954" s="2">
        <f t="shared" si="68"/>
        <v>0</v>
      </c>
      <c r="T1954" s="11"/>
    </row>
    <row r="1955" spans="1:20" ht="11.85" customHeight="1" x14ac:dyDescent="0.2">
      <c r="A1955" s="3" t="s">
        <v>980</v>
      </c>
      <c r="C1955" s="2">
        <v>341.66</v>
      </c>
      <c r="E1955" s="2">
        <v>958</v>
      </c>
      <c r="G1955" s="2">
        <v>995.98</v>
      </c>
      <c r="I1955" s="2">
        <v>1400</v>
      </c>
      <c r="K1955" s="2">
        <v>1400</v>
      </c>
      <c r="L1955" s="9"/>
      <c r="M1955" s="2">
        <v>1400</v>
      </c>
      <c r="N1955" s="9"/>
      <c r="O1955" s="2">
        <v>0</v>
      </c>
      <c r="P1955" s="9"/>
      <c r="Q1955" s="2">
        <f t="shared" si="68"/>
        <v>1400</v>
      </c>
      <c r="T1955" s="11"/>
    </row>
    <row r="1956" spans="1:20" ht="11.85" hidden="1" customHeight="1" x14ac:dyDescent="0.2">
      <c r="A1956" s="3" t="s">
        <v>981</v>
      </c>
      <c r="C1956" s="2">
        <v>0</v>
      </c>
      <c r="E1956" s="2">
        <v>0</v>
      </c>
      <c r="G1956" s="2">
        <v>0</v>
      </c>
      <c r="I1956" s="2">
        <v>0</v>
      </c>
      <c r="K1956" s="2">
        <v>0</v>
      </c>
      <c r="L1956" s="9"/>
      <c r="M1956" s="2">
        <v>0</v>
      </c>
      <c r="N1956" s="9"/>
      <c r="O1956" s="2">
        <v>0</v>
      </c>
      <c r="P1956" s="9"/>
      <c r="Q1956" s="2">
        <f t="shared" si="68"/>
        <v>0</v>
      </c>
      <c r="T1956" s="11"/>
    </row>
    <row r="1957" spans="1:20" ht="11.85" customHeight="1" x14ac:dyDescent="0.2">
      <c r="A1957" s="3" t="s">
        <v>982</v>
      </c>
      <c r="C1957" s="2">
        <v>0</v>
      </c>
      <c r="E1957" s="2">
        <v>0</v>
      </c>
      <c r="G1957" s="2">
        <v>0</v>
      </c>
      <c r="I1957" s="2">
        <v>0</v>
      </c>
      <c r="K1957" s="2">
        <v>0</v>
      </c>
      <c r="L1957" s="9"/>
      <c r="M1957" s="2">
        <v>0</v>
      </c>
      <c r="N1957" s="9"/>
      <c r="O1957" s="2">
        <v>0</v>
      </c>
      <c r="P1957" s="9"/>
      <c r="Q1957" s="2">
        <f t="shared" si="68"/>
        <v>0</v>
      </c>
      <c r="T1957" s="11"/>
    </row>
    <row r="1958" spans="1:20" ht="11.85" customHeight="1" x14ac:dyDescent="0.2">
      <c r="A1958" s="3" t="s">
        <v>983</v>
      </c>
      <c r="C1958" s="2">
        <v>0</v>
      </c>
      <c r="E1958" s="2">
        <v>0</v>
      </c>
      <c r="G1958" s="2">
        <v>0</v>
      </c>
      <c r="I1958" s="2">
        <v>0</v>
      </c>
      <c r="K1958" s="2">
        <v>0</v>
      </c>
      <c r="L1958" s="9"/>
      <c r="M1958" s="2">
        <v>0</v>
      </c>
      <c r="N1958" s="9"/>
      <c r="O1958" s="2">
        <v>0</v>
      </c>
      <c r="P1958" s="9"/>
      <c r="Q1958" s="2">
        <f t="shared" si="68"/>
        <v>0</v>
      </c>
      <c r="T1958" s="11"/>
    </row>
    <row r="1959" spans="1:20" ht="11.85" hidden="1" customHeight="1" x14ac:dyDescent="0.2">
      <c r="A1959" s="3" t="s">
        <v>984</v>
      </c>
      <c r="C1959" s="2">
        <v>0</v>
      </c>
      <c r="E1959" s="2">
        <v>0</v>
      </c>
      <c r="G1959" s="2">
        <v>0</v>
      </c>
      <c r="I1959" s="2">
        <v>0</v>
      </c>
      <c r="K1959" s="2">
        <v>0</v>
      </c>
      <c r="L1959" s="9"/>
      <c r="M1959" s="2">
        <v>0</v>
      </c>
      <c r="N1959" s="9"/>
      <c r="O1959" s="2">
        <v>0</v>
      </c>
      <c r="P1959" s="9"/>
      <c r="Q1959" s="2">
        <f t="shared" si="68"/>
        <v>0</v>
      </c>
      <c r="T1959" s="11"/>
    </row>
    <row r="1960" spans="1:20" ht="11.85" customHeight="1" x14ac:dyDescent="0.2">
      <c r="A1960" s="3" t="s">
        <v>985</v>
      </c>
      <c r="C1960" s="2">
        <v>990</v>
      </c>
      <c r="E1960" s="2">
        <v>555</v>
      </c>
      <c r="G1960" s="2">
        <v>605</v>
      </c>
      <c r="I1960" s="2">
        <v>800</v>
      </c>
      <c r="K1960" s="2">
        <v>800</v>
      </c>
      <c r="L1960" s="9"/>
      <c r="M1960" s="2">
        <v>800</v>
      </c>
      <c r="N1960" s="9"/>
      <c r="O1960" s="2">
        <v>0</v>
      </c>
      <c r="P1960" s="9"/>
      <c r="Q1960" s="2">
        <f t="shared" si="68"/>
        <v>800</v>
      </c>
      <c r="T1960" s="11"/>
    </row>
    <row r="1961" spans="1:20" ht="11.85" customHeight="1" x14ac:dyDescent="0.2">
      <c r="A1961" s="3" t="s">
        <v>986</v>
      </c>
      <c r="C1961" s="2">
        <v>539.45000000000005</v>
      </c>
      <c r="E1961" s="2">
        <v>650.6</v>
      </c>
      <c r="G1961" s="2">
        <v>1607.5</v>
      </c>
      <c r="I1961" s="2">
        <v>2100</v>
      </c>
      <c r="K1961" s="2">
        <v>2100</v>
      </c>
      <c r="L1961" s="9"/>
      <c r="M1961" s="2">
        <v>2100</v>
      </c>
      <c r="N1961" s="9"/>
      <c r="O1961" s="2">
        <v>0</v>
      </c>
      <c r="P1961" s="9"/>
      <c r="Q1961" s="2">
        <f t="shared" si="68"/>
        <v>2100</v>
      </c>
      <c r="T1961" s="11"/>
    </row>
    <row r="1962" spans="1:20" ht="11.85" customHeight="1" x14ac:dyDescent="0.2">
      <c r="A1962" s="3" t="s">
        <v>987</v>
      </c>
      <c r="C1962" s="2">
        <v>80</v>
      </c>
      <c r="E1962" s="2">
        <v>0</v>
      </c>
      <c r="G1962" s="2">
        <v>2432.91</v>
      </c>
      <c r="I1962" s="2">
        <v>0</v>
      </c>
      <c r="K1962" s="2">
        <v>0</v>
      </c>
      <c r="L1962" s="9"/>
      <c r="M1962" s="2">
        <v>0</v>
      </c>
      <c r="N1962" s="9"/>
      <c r="O1962" s="2">
        <v>0</v>
      </c>
      <c r="P1962" s="9"/>
      <c r="Q1962" s="2">
        <f t="shared" si="68"/>
        <v>0</v>
      </c>
      <c r="T1962" s="11"/>
    </row>
    <row r="1963" spans="1:20" ht="11.85" customHeight="1" x14ac:dyDescent="0.2">
      <c r="A1963" s="3" t="s">
        <v>988</v>
      </c>
      <c r="C1963" s="12">
        <v>0</v>
      </c>
      <c r="E1963" s="12">
        <v>3000</v>
      </c>
      <c r="G1963" s="12">
        <v>0</v>
      </c>
      <c r="I1963" s="12">
        <v>3000</v>
      </c>
      <c r="K1963" s="12">
        <v>3000</v>
      </c>
      <c r="L1963" s="9"/>
      <c r="M1963" s="12">
        <v>3000</v>
      </c>
      <c r="N1963" s="9"/>
      <c r="O1963" s="12">
        <v>0</v>
      </c>
      <c r="P1963" s="9"/>
      <c r="Q1963" s="12">
        <f t="shared" si="68"/>
        <v>3000</v>
      </c>
      <c r="T1963" s="11"/>
    </row>
    <row r="1964" spans="1:20" ht="11.85" hidden="1" customHeight="1" x14ac:dyDescent="0.2">
      <c r="A1964" s="3" t="s">
        <v>989</v>
      </c>
      <c r="C1964" s="12">
        <v>0</v>
      </c>
      <c r="E1964" s="12">
        <v>0</v>
      </c>
      <c r="G1964" s="12">
        <v>0</v>
      </c>
      <c r="I1964" s="12">
        <v>0</v>
      </c>
      <c r="K1964" s="12">
        <v>0</v>
      </c>
      <c r="L1964" s="9"/>
      <c r="M1964" s="12">
        <v>0</v>
      </c>
      <c r="N1964" s="9"/>
      <c r="O1964" s="12">
        <v>0</v>
      </c>
      <c r="P1964" s="9"/>
      <c r="Q1964" s="12">
        <f t="shared" si="68"/>
        <v>0</v>
      </c>
      <c r="T1964" s="11"/>
    </row>
    <row r="1965" spans="1:20" ht="11.85" customHeight="1" x14ac:dyDescent="0.2">
      <c r="A1965" s="3" t="s">
        <v>304</v>
      </c>
      <c r="C1965" s="2">
        <f>SUM(C1950:C1964)</f>
        <v>52592.75</v>
      </c>
      <c r="E1965" s="2">
        <f>SUM(E1950:E1964)</f>
        <v>58287.5</v>
      </c>
      <c r="G1965" s="2">
        <f>SUM(G1950:G1964)</f>
        <v>57337.09</v>
      </c>
      <c r="I1965" s="2">
        <f>SUM(I1950:I1964)</f>
        <v>57300</v>
      </c>
      <c r="K1965" s="2">
        <f>SUM(K1950:K1964)</f>
        <v>67300</v>
      </c>
      <c r="L1965" s="9"/>
      <c r="M1965" s="2">
        <f>SUM(M1950:M1964)</f>
        <v>57300</v>
      </c>
      <c r="N1965" s="9"/>
      <c r="O1965" s="2">
        <f>SUM(O1950:O1964)</f>
        <v>0</v>
      </c>
      <c r="P1965" s="9"/>
      <c r="Q1965" s="2">
        <f>SUM(Q1950:Q1964)</f>
        <v>57300</v>
      </c>
      <c r="T1965" s="14"/>
    </row>
    <row r="1966" spans="1:20" ht="11.85" customHeight="1" x14ac:dyDescent="0.2">
      <c r="L1966" s="9"/>
      <c r="N1966" s="9"/>
      <c r="P1966" s="9"/>
    </row>
    <row r="1967" spans="1:20" ht="11.85" customHeight="1" x14ac:dyDescent="0.2">
      <c r="A1967" s="10" t="s">
        <v>305</v>
      </c>
      <c r="L1967" s="9"/>
      <c r="N1967" s="9"/>
      <c r="P1967" s="9"/>
    </row>
    <row r="1968" spans="1:20" ht="11.85" customHeight="1" x14ac:dyDescent="0.2">
      <c r="A1968" s="3" t="s">
        <v>990</v>
      </c>
      <c r="C1968" s="2">
        <v>0</v>
      </c>
      <c r="E1968" s="2">
        <v>923.99</v>
      </c>
      <c r="G1968" s="2">
        <v>234.57</v>
      </c>
      <c r="I1968" s="2">
        <v>700</v>
      </c>
      <c r="K1968" s="2">
        <v>700</v>
      </c>
      <c r="L1968" s="9"/>
      <c r="M1968" s="2">
        <v>700</v>
      </c>
      <c r="N1968" s="9"/>
      <c r="O1968" s="2">
        <v>0</v>
      </c>
      <c r="P1968" s="9"/>
      <c r="Q1968" s="2">
        <f t="shared" ref="Q1968:Q1991" si="69">M1968+O1968</f>
        <v>700</v>
      </c>
      <c r="T1968" s="11"/>
    </row>
    <row r="1969" spans="1:20" ht="11.85" customHeight="1" x14ac:dyDescent="0.2">
      <c r="A1969" s="3" t="s">
        <v>991</v>
      </c>
      <c r="C1969" s="2">
        <v>0</v>
      </c>
      <c r="E1969" s="2">
        <v>0</v>
      </c>
      <c r="G1969" s="2">
        <v>0</v>
      </c>
      <c r="I1969" s="2">
        <v>0</v>
      </c>
      <c r="K1969" s="2">
        <v>0</v>
      </c>
      <c r="L1969" s="9"/>
      <c r="M1969" s="2">
        <v>0</v>
      </c>
      <c r="N1969" s="9"/>
      <c r="O1969" s="2">
        <v>0</v>
      </c>
      <c r="P1969" s="9"/>
      <c r="Q1969" s="2">
        <f t="shared" si="69"/>
        <v>0</v>
      </c>
      <c r="T1969" s="11"/>
    </row>
    <row r="1970" spans="1:20" ht="11.85" customHeight="1" x14ac:dyDescent="0.2">
      <c r="A1970" s="3" t="s">
        <v>992</v>
      </c>
      <c r="C1970" s="2">
        <v>5036.8500000000004</v>
      </c>
      <c r="E1970" s="2">
        <v>4917.2</v>
      </c>
      <c r="G1970" s="2">
        <v>4732.95</v>
      </c>
      <c r="I1970" s="2">
        <v>4500</v>
      </c>
      <c r="K1970" s="2">
        <v>4500</v>
      </c>
      <c r="L1970" s="9"/>
      <c r="M1970" s="2">
        <v>5000</v>
      </c>
      <c r="N1970" s="9"/>
      <c r="O1970" s="2">
        <v>0</v>
      </c>
      <c r="P1970" s="9"/>
      <c r="Q1970" s="2">
        <f t="shared" si="69"/>
        <v>5000</v>
      </c>
      <c r="T1970" s="11"/>
    </row>
    <row r="1971" spans="1:20" ht="11.85" customHeight="1" x14ac:dyDescent="0.2">
      <c r="A1971" s="3" t="s">
        <v>993</v>
      </c>
      <c r="C1971" s="2">
        <v>1902.17</v>
      </c>
      <c r="E1971" s="2">
        <v>4031.11</v>
      </c>
      <c r="G1971" s="2">
        <v>4692.83</v>
      </c>
      <c r="I1971" s="2">
        <v>7000</v>
      </c>
      <c r="K1971" s="2">
        <v>7000</v>
      </c>
      <c r="L1971" s="9"/>
      <c r="M1971" s="2">
        <v>5500</v>
      </c>
      <c r="N1971" s="9"/>
      <c r="O1971" s="2">
        <v>0</v>
      </c>
      <c r="P1971" s="9"/>
      <c r="Q1971" s="2">
        <f t="shared" si="69"/>
        <v>5500</v>
      </c>
      <c r="T1971" s="11"/>
    </row>
    <row r="1972" spans="1:20" ht="11.85" customHeight="1" x14ac:dyDescent="0.2">
      <c r="A1972" s="3" t="s">
        <v>994</v>
      </c>
      <c r="C1972" s="2">
        <v>219.75</v>
      </c>
      <c r="E1972" s="2">
        <v>235.78</v>
      </c>
      <c r="G1972" s="2">
        <v>706.91</v>
      </c>
      <c r="I1972" s="2">
        <v>1000</v>
      </c>
      <c r="K1972" s="2">
        <f>1000+1000</f>
        <v>2000</v>
      </c>
      <c r="L1972" s="9"/>
      <c r="M1972" s="2">
        <v>2000</v>
      </c>
      <c r="N1972" s="9"/>
      <c r="O1972" s="2">
        <v>0</v>
      </c>
      <c r="P1972" s="9"/>
      <c r="Q1972" s="2">
        <f t="shared" si="69"/>
        <v>2000</v>
      </c>
      <c r="T1972" s="11"/>
    </row>
    <row r="1973" spans="1:20" ht="11.85" hidden="1" customHeight="1" x14ac:dyDescent="0.2">
      <c r="A1973" s="3" t="s">
        <v>995</v>
      </c>
      <c r="C1973" s="2">
        <v>0</v>
      </c>
      <c r="E1973" s="2">
        <v>0</v>
      </c>
      <c r="G1973" s="2">
        <v>0</v>
      </c>
      <c r="I1973" s="2">
        <v>0</v>
      </c>
      <c r="K1973" s="2">
        <v>0</v>
      </c>
      <c r="L1973" s="9"/>
      <c r="M1973" s="2">
        <v>0</v>
      </c>
      <c r="N1973" s="9"/>
      <c r="O1973" s="2">
        <v>0</v>
      </c>
      <c r="P1973" s="9"/>
      <c r="Q1973" s="2">
        <f t="shared" si="69"/>
        <v>0</v>
      </c>
      <c r="T1973" s="11"/>
    </row>
    <row r="1974" spans="1:20" ht="11.85" customHeight="1" x14ac:dyDescent="0.2">
      <c r="A1974" s="3" t="s">
        <v>996</v>
      </c>
      <c r="C1974" s="2">
        <v>5801.07</v>
      </c>
      <c r="E1974" s="2">
        <v>6039.39</v>
      </c>
      <c r="G1974" s="2">
        <v>4368.1400000000003</v>
      </c>
      <c r="I1974" s="2">
        <v>7000</v>
      </c>
      <c r="K1974" s="2">
        <v>7000</v>
      </c>
      <c r="L1974" s="9"/>
      <c r="M1974" s="2">
        <v>7000</v>
      </c>
      <c r="N1974" s="9"/>
      <c r="O1974" s="2">
        <v>0</v>
      </c>
      <c r="P1974" s="9"/>
      <c r="Q1974" s="2">
        <f t="shared" si="69"/>
        <v>7000</v>
      </c>
      <c r="T1974" s="11"/>
    </row>
    <row r="1975" spans="1:20" ht="11.85" customHeight="1" x14ac:dyDescent="0.2">
      <c r="A1975" s="3" t="s">
        <v>997</v>
      </c>
      <c r="C1975" s="2">
        <v>33.75</v>
      </c>
      <c r="E1975" s="2">
        <v>0</v>
      </c>
      <c r="G1975" s="2">
        <v>0</v>
      </c>
      <c r="I1975" s="2">
        <v>0</v>
      </c>
      <c r="K1975" s="2">
        <v>0</v>
      </c>
      <c r="L1975" s="9"/>
      <c r="M1975" s="2">
        <v>0</v>
      </c>
      <c r="N1975" s="9"/>
      <c r="O1975" s="2">
        <v>0</v>
      </c>
      <c r="P1975" s="9"/>
      <c r="Q1975" s="2">
        <f t="shared" si="69"/>
        <v>0</v>
      </c>
      <c r="T1975" s="11"/>
    </row>
    <row r="1976" spans="1:20" ht="11.85" customHeight="1" x14ac:dyDescent="0.2">
      <c r="A1976" s="3" t="s">
        <v>998</v>
      </c>
      <c r="C1976" s="2">
        <v>2023.65</v>
      </c>
      <c r="E1976" s="2">
        <v>1331.27</v>
      </c>
      <c r="G1976" s="2">
        <v>1214.04</v>
      </c>
      <c r="I1976" s="2">
        <v>2000</v>
      </c>
      <c r="K1976" s="2">
        <f>2000+1000</f>
        <v>3000</v>
      </c>
      <c r="L1976" s="9"/>
      <c r="M1976" s="2">
        <v>3000</v>
      </c>
      <c r="N1976" s="9"/>
      <c r="O1976" s="2">
        <v>0</v>
      </c>
      <c r="P1976" s="9"/>
      <c r="Q1976" s="2">
        <f t="shared" si="69"/>
        <v>3000</v>
      </c>
      <c r="T1976" s="11"/>
    </row>
    <row r="1977" spans="1:20" ht="11.85" customHeight="1" x14ac:dyDescent="0.2">
      <c r="A1977" s="3" t="s">
        <v>999</v>
      </c>
      <c r="C1977" s="2">
        <v>22659.51</v>
      </c>
      <c r="E1977" s="2">
        <v>21611.39</v>
      </c>
      <c r="G1977" s="2">
        <v>20435.91</v>
      </c>
      <c r="I1977" s="2">
        <v>22500</v>
      </c>
      <c r="K1977" s="2">
        <f>22500-2000</f>
        <v>20500</v>
      </c>
      <c r="L1977" s="9"/>
      <c r="M1977" s="2">
        <v>22500</v>
      </c>
      <c r="N1977" s="9"/>
      <c r="O1977" s="2">
        <v>0</v>
      </c>
      <c r="P1977" s="9"/>
      <c r="Q1977" s="2">
        <f t="shared" si="69"/>
        <v>22500</v>
      </c>
      <c r="T1977" s="11"/>
    </row>
    <row r="1978" spans="1:20" ht="11.85" customHeight="1" x14ac:dyDescent="0.2">
      <c r="A1978" s="3" t="s">
        <v>1000</v>
      </c>
      <c r="C1978" s="2">
        <v>756.72</v>
      </c>
      <c r="E1978" s="2">
        <v>808.6</v>
      </c>
      <c r="G1978" s="2">
        <v>759.3</v>
      </c>
      <c r="I1978" s="2">
        <v>800</v>
      </c>
      <c r="K1978" s="2">
        <v>800</v>
      </c>
      <c r="L1978" s="9"/>
      <c r="M1978" s="2">
        <v>800</v>
      </c>
      <c r="N1978" s="9"/>
      <c r="O1978" s="2">
        <v>0</v>
      </c>
      <c r="P1978" s="9"/>
      <c r="Q1978" s="2">
        <f t="shared" si="69"/>
        <v>800</v>
      </c>
      <c r="T1978" s="11"/>
    </row>
    <row r="1979" spans="1:20" ht="11.85" customHeight="1" x14ac:dyDescent="0.2">
      <c r="A1979" s="3" t="s">
        <v>1001</v>
      </c>
      <c r="C1979" s="2">
        <v>0</v>
      </c>
      <c r="E1979" s="2">
        <v>0</v>
      </c>
      <c r="G1979" s="2">
        <v>0</v>
      </c>
      <c r="I1979" s="2">
        <v>200</v>
      </c>
      <c r="K1979" s="2">
        <v>200</v>
      </c>
      <c r="L1979" s="9"/>
      <c r="M1979" s="2">
        <v>200</v>
      </c>
      <c r="N1979" s="9"/>
      <c r="O1979" s="2">
        <v>0</v>
      </c>
      <c r="P1979" s="9"/>
      <c r="Q1979" s="2">
        <f t="shared" si="69"/>
        <v>200</v>
      </c>
      <c r="T1979" s="11"/>
    </row>
    <row r="1980" spans="1:20" ht="11.85" hidden="1" customHeight="1" x14ac:dyDescent="0.2">
      <c r="A1980" s="3" t="s">
        <v>1002</v>
      </c>
      <c r="C1980" s="2">
        <v>0</v>
      </c>
      <c r="E1980" s="2">
        <v>0</v>
      </c>
      <c r="G1980" s="2">
        <v>0</v>
      </c>
      <c r="I1980" s="2">
        <v>0</v>
      </c>
      <c r="K1980" s="2">
        <v>0</v>
      </c>
      <c r="L1980" s="9"/>
      <c r="M1980" s="2">
        <v>0</v>
      </c>
      <c r="N1980" s="9"/>
      <c r="O1980" s="2">
        <v>0</v>
      </c>
      <c r="P1980" s="9"/>
      <c r="Q1980" s="2">
        <f t="shared" si="69"/>
        <v>0</v>
      </c>
      <c r="T1980" s="11"/>
    </row>
    <row r="1981" spans="1:20" ht="11.85" customHeight="1" x14ac:dyDescent="0.2">
      <c r="A1981" s="3" t="s">
        <v>1003</v>
      </c>
      <c r="C1981" s="2">
        <v>0</v>
      </c>
      <c r="E1981" s="2">
        <v>112.9</v>
      </c>
      <c r="G1981" s="2">
        <v>55.47</v>
      </c>
      <c r="I1981" s="2">
        <v>200</v>
      </c>
      <c r="K1981" s="2">
        <v>200</v>
      </c>
      <c r="L1981" s="9"/>
      <c r="M1981" s="2">
        <v>200</v>
      </c>
      <c r="N1981" s="9"/>
      <c r="O1981" s="2">
        <v>0</v>
      </c>
      <c r="P1981" s="9"/>
      <c r="Q1981" s="2">
        <f t="shared" si="69"/>
        <v>200</v>
      </c>
      <c r="T1981" s="11"/>
    </row>
    <row r="1982" spans="1:20" ht="11.85" customHeight="1" x14ac:dyDescent="0.2">
      <c r="A1982" s="3" t="s">
        <v>1004</v>
      </c>
      <c r="C1982" s="2">
        <v>0</v>
      </c>
      <c r="E1982" s="2">
        <v>150</v>
      </c>
      <c r="G1982" s="2">
        <v>0</v>
      </c>
      <c r="I1982" s="2">
        <v>400</v>
      </c>
      <c r="K1982" s="2">
        <v>400</v>
      </c>
      <c r="L1982" s="9"/>
      <c r="M1982" s="2">
        <v>400</v>
      </c>
      <c r="N1982" s="9"/>
      <c r="O1982" s="2">
        <v>0</v>
      </c>
      <c r="P1982" s="9"/>
      <c r="Q1982" s="2">
        <f t="shared" si="69"/>
        <v>400</v>
      </c>
      <c r="T1982" s="11"/>
    </row>
    <row r="1983" spans="1:20" ht="11.85" hidden="1" customHeight="1" x14ac:dyDescent="0.2">
      <c r="A1983" s="3" t="s">
        <v>1005</v>
      </c>
      <c r="C1983" s="2">
        <v>0</v>
      </c>
      <c r="E1983" s="2">
        <v>0</v>
      </c>
      <c r="G1983" s="2">
        <v>0</v>
      </c>
      <c r="I1983" s="2">
        <v>0</v>
      </c>
      <c r="K1983" s="2">
        <v>0</v>
      </c>
      <c r="L1983" s="9"/>
      <c r="M1983" s="2">
        <v>0</v>
      </c>
      <c r="N1983" s="9"/>
      <c r="O1983" s="2">
        <v>0</v>
      </c>
      <c r="P1983" s="9"/>
      <c r="Q1983" s="2">
        <f t="shared" si="69"/>
        <v>0</v>
      </c>
      <c r="T1983" s="11"/>
    </row>
    <row r="1984" spans="1:20" ht="11.85" customHeight="1" x14ac:dyDescent="0.2">
      <c r="A1984" s="3" t="s">
        <v>1006</v>
      </c>
      <c r="C1984" s="2">
        <v>5103.3100000000004</v>
      </c>
      <c r="E1984" s="2">
        <v>6181.22</v>
      </c>
      <c r="G1984" s="2">
        <v>6473.12</v>
      </c>
      <c r="I1984" s="2">
        <v>6000</v>
      </c>
      <c r="K1984" s="2">
        <v>6000</v>
      </c>
      <c r="L1984" s="9"/>
      <c r="M1984" s="2">
        <v>6000</v>
      </c>
      <c r="N1984" s="9"/>
      <c r="O1984" s="2">
        <v>0</v>
      </c>
      <c r="P1984" s="9"/>
      <c r="Q1984" s="2">
        <f t="shared" si="69"/>
        <v>6000</v>
      </c>
      <c r="T1984" s="11"/>
    </row>
    <row r="1985" spans="1:21" ht="11.85" customHeight="1" x14ac:dyDescent="0.2">
      <c r="A1985" s="3" t="s">
        <v>1007</v>
      </c>
      <c r="C1985" s="2">
        <v>23914.36</v>
      </c>
      <c r="E1985" s="2">
        <v>23287.78</v>
      </c>
      <c r="G1985" s="2">
        <v>23872.37</v>
      </c>
      <c r="I1985" s="2">
        <v>25000</v>
      </c>
      <c r="K1985" s="2">
        <v>25000</v>
      </c>
      <c r="L1985" s="9"/>
      <c r="M1985" s="2">
        <v>25000</v>
      </c>
      <c r="N1985" s="9"/>
      <c r="O1985" s="2">
        <v>0</v>
      </c>
      <c r="P1985" s="9"/>
      <c r="Q1985" s="2">
        <f t="shared" si="69"/>
        <v>25000</v>
      </c>
      <c r="T1985" s="11"/>
    </row>
    <row r="1986" spans="1:21" ht="11.85" customHeight="1" x14ac:dyDescent="0.2">
      <c r="A1986" s="3" t="s">
        <v>1008</v>
      </c>
      <c r="C1986" s="2">
        <v>9327.5</v>
      </c>
      <c r="E1986" s="2">
        <v>10908</v>
      </c>
      <c r="G1986" s="2">
        <v>13606</v>
      </c>
      <c r="I1986" s="2">
        <v>11000</v>
      </c>
      <c r="K1986" s="2">
        <v>11000</v>
      </c>
      <c r="L1986" s="9"/>
      <c r="M1986" s="2">
        <v>11000</v>
      </c>
      <c r="N1986" s="9"/>
      <c r="O1986" s="2">
        <v>0</v>
      </c>
      <c r="P1986" s="9"/>
      <c r="Q1986" s="2">
        <f t="shared" si="69"/>
        <v>11000</v>
      </c>
      <c r="T1986" s="11"/>
    </row>
    <row r="1987" spans="1:21" ht="11.85" hidden="1" customHeight="1" x14ac:dyDescent="0.2">
      <c r="A1987" s="3" t="s">
        <v>1009</v>
      </c>
      <c r="C1987" s="2">
        <v>0</v>
      </c>
      <c r="E1987" s="2">
        <v>0</v>
      </c>
      <c r="G1987" s="2">
        <v>0</v>
      </c>
      <c r="I1987" s="2">
        <v>0</v>
      </c>
      <c r="K1987" s="2">
        <v>0</v>
      </c>
      <c r="L1987" s="9"/>
      <c r="M1987" s="2">
        <v>0</v>
      </c>
      <c r="N1987" s="9"/>
      <c r="O1987" s="2">
        <v>0</v>
      </c>
      <c r="P1987" s="9"/>
      <c r="Q1987" s="2">
        <f t="shared" si="69"/>
        <v>0</v>
      </c>
      <c r="T1987" s="11"/>
    </row>
    <row r="1988" spans="1:21" ht="11.85" hidden="1" customHeight="1" x14ac:dyDescent="0.2">
      <c r="A1988" s="3" t="s">
        <v>1010</v>
      </c>
      <c r="C1988" s="2">
        <v>0</v>
      </c>
      <c r="E1988" s="2">
        <v>0</v>
      </c>
      <c r="G1988" s="2">
        <v>0</v>
      </c>
      <c r="I1988" s="2">
        <v>0</v>
      </c>
      <c r="K1988" s="2">
        <v>0</v>
      </c>
      <c r="L1988" s="9"/>
      <c r="M1988" s="2">
        <v>0</v>
      </c>
      <c r="N1988" s="9"/>
      <c r="O1988" s="2">
        <v>0</v>
      </c>
      <c r="P1988" s="9"/>
      <c r="Q1988" s="2">
        <f t="shared" si="69"/>
        <v>0</v>
      </c>
      <c r="T1988" s="11"/>
    </row>
    <row r="1989" spans="1:21" ht="11.85" customHeight="1" x14ac:dyDescent="0.2">
      <c r="A1989" s="3" t="s">
        <v>1011</v>
      </c>
      <c r="C1989" s="2">
        <v>0</v>
      </c>
      <c r="E1989" s="2">
        <v>0</v>
      </c>
      <c r="G1989" s="2">
        <v>223.58</v>
      </c>
      <c r="I1989" s="2">
        <v>0</v>
      </c>
      <c r="K1989" s="2">
        <v>0</v>
      </c>
      <c r="L1989" s="9"/>
      <c r="M1989" s="2">
        <v>0</v>
      </c>
      <c r="N1989" s="9"/>
      <c r="O1989" s="2">
        <v>0</v>
      </c>
      <c r="P1989" s="9"/>
      <c r="Q1989" s="2">
        <f t="shared" si="69"/>
        <v>0</v>
      </c>
      <c r="T1989" s="11"/>
    </row>
    <row r="1990" spans="1:21" ht="11.85" customHeight="1" x14ac:dyDescent="0.2">
      <c r="A1990" s="3" t="s">
        <v>1012</v>
      </c>
      <c r="C1990" s="2">
        <v>0</v>
      </c>
      <c r="E1990" s="2">
        <v>0</v>
      </c>
      <c r="G1990" s="2">
        <v>438.4</v>
      </c>
      <c r="I1990" s="2">
        <v>1000</v>
      </c>
      <c r="K1990" s="2">
        <v>1000</v>
      </c>
      <c r="L1990" s="9"/>
      <c r="M1990" s="2">
        <v>1000</v>
      </c>
      <c r="N1990" s="9"/>
      <c r="O1990" s="2">
        <v>0</v>
      </c>
      <c r="P1990" s="9"/>
      <c r="Q1990" s="2">
        <f t="shared" si="69"/>
        <v>1000</v>
      </c>
      <c r="T1990" s="11"/>
    </row>
    <row r="1991" spans="1:21" ht="11.85" customHeight="1" x14ac:dyDescent="0.2">
      <c r="A1991" s="3" t="s">
        <v>1013</v>
      </c>
      <c r="C1991" s="12">
        <v>0</v>
      </c>
      <c r="E1991" s="12">
        <v>0</v>
      </c>
      <c r="G1991" s="12">
        <v>1310.2</v>
      </c>
      <c r="I1991" s="12">
        <v>3300</v>
      </c>
      <c r="K1991" s="12">
        <v>3300</v>
      </c>
      <c r="L1991" s="9"/>
      <c r="M1991" s="12">
        <v>3500</v>
      </c>
      <c r="N1991" s="9"/>
      <c r="O1991" s="12">
        <v>0</v>
      </c>
      <c r="P1991" s="9"/>
      <c r="Q1991" s="12">
        <f t="shared" si="69"/>
        <v>3500</v>
      </c>
      <c r="T1991" s="11"/>
    </row>
    <row r="1992" spans="1:21" ht="11.85" customHeight="1" x14ac:dyDescent="0.2">
      <c r="A1992" s="3" t="s">
        <v>328</v>
      </c>
      <c r="C1992" s="2">
        <f>SUM(C1968:C1974)+SUM(C1975:C1991)</f>
        <v>76778.64</v>
      </c>
      <c r="E1992" s="2">
        <f>SUM(E1968:E1974)+SUM(E1975:E1991)</f>
        <v>80538.63</v>
      </c>
      <c r="G1992" s="2">
        <f>SUM(G1968:G1974)+SUM(G1975:G1991)</f>
        <v>83123.789999999979</v>
      </c>
      <c r="I1992" s="2">
        <f>SUM(I1968:I1974)+SUM(I1975:I1991)</f>
        <v>92600</v>
      </c>
      <c r="K1992" s="2">
        <f>SUM(K1968:K1974)+SUM(K1975:K1991)</f>
        <v>92600</v>
      </c>
      <c r="L1992" s="9"/>
      <c r="M1992" s="2">
        <f>SUM(M1968:M1974)+SUM(M1975:M1991)</f>
        <v>93800</v>
      </c>
      <c r="N1992" s="9"/>
      <c r="O1992" s="2">
        <f>SUM(O1968:O1974)+SUM(O1975:O1991)</f>
        <v>0</v>
      </c>
      <c r="P1992" s="9"/>
      <c r="Q1992" s="2">
        <f>SUM(Q1968:Q1974)+SUM(Q1975:Q1991)</f>
        <v>93800</v>
      </c>
      <c r="T1992" s="14"/>
      <c r="U1992" s="9"/>
    </row>
    <row r="1993" spans="1:21" ht="11.85" customHeight="1" x14ac:dyDescent="0.2">
      <c r="A1993" s="1"/>
      <c r="B1993" s="1"/>
      <c r="E1993" s="2" t="str">
        <f>$E$1</f>
        <v>CITY OF BRADY</v>
      </c>
    </row>
    <row r="1994" spans="1:21" ht="11.85" customHeight="1" x14ac:dyDescent="0.2">
      <c r="E1994" s="2" t="str">
        <f>$E$2</f>
        <v>BUDGET REPORT</v>
      </c>
    </row>
    <row r="1995" spans="1:21" ht="11.85" customHeight="1" x14ac:dyDescent="0.2">
      <c r="E1995" s="2" t="str">
        <f>$E$3</f>
        <v>FISCAL YEAR 2024 - 2025</v>
      </c>
    </row>
    <row r="1996" spans="1:21" ht="11.85" customHeight="1" x14ac:dyDescent="0.2">
      <c r="A1996" s="3" t="s">
        <v>3</v>
      </c>
    </row>
    <row r="1997" spans="1:21" ht="11.85" customHeight="1" x14ac:dyDescent="0.2">
      <c r="A1997" s="3" t="s">
        <v>965</v>
      </c>
    </row>
    <row r="1998" spans="1:21" ht="11.85" customHeight="1" x14ac:dyDescent="0.2">
      <c r="I1998" s="53" t="str">
        <f>$I$6</f>
        <v>(----- 2023-2024------)</v>
      </c>
      <c r="J1998" s="53"/>
      <c r="K1998" s="53"/>
      <c r="L1998" s="6"/>
      <c r="M1998" s="54" t="str">
        <f>$M$6</f>
        <v>2024-2025</v>
      </c>
      <c r="N1998" s="54"/>
      <c r="O1998" s="54"/>
      <c r="P1998" s="54"/>
      <c r="Q1998" s="54"/>
    </row>
    <row r="1999" spans="1:21" ht="11.85" customHeight="1" x14ac:dyDescent="0.2">
      <c r="C1999" s="5" t="str">
        <f>$C$7</f>
        <v>2020-2021</v>
      </c>
      <c r="D1999" s="5"/>
      <c r="E1999" s="5" t="str">
        <f>$E$7</f>
        <v>2021-2022</v>
      </c>
      <c r="F1999" s="5"/>
      <c r="G1999" s="5" t="str">
        <f>$G$7</f>
        <v>2022-2023</v>
      </c>
      <c r="H1999" s="5"/>
      <c r="I1999" s="5" t="s">
        <v>9</v>
      </c>
      <c r="J1999" s="5"/>
      <c r="K1999" s="5" t="str">
        <f>+$K$7</f>
        <v>PROJECTED</v>
      </c>
      <c r="L1999" s="6"/>
      <c r="M1999" s="5">
        <f>$M$7</f>
        <v>0</v>
      </c>
      <c r="N1999" s="6"/>
      <c r="O1999" s="5" t="str">
        <f>$O$7</f>
        <v>2024-2025</v>
      </c>
      <c r="P1999" s="6"/>
      <c r="Q1999" s="5" t="str">
        <f>$Q$7</f>
        <v>APPROVED</v>
      </c>
    </row>
    <row r="2000" spans="1:21" ht="11.85" customHeight="1" x14ac:dyDescent="0.2">
      <c r="A2000" s="7" t="s">
        <v>273</v>
      </c>
      <c r="C2000" s="8" t="s">
        <v>12</v>
      </c>
      <c r="D2000" s="5"/>
      <c r="E2000" s="8" t="s">
        <v>12</v>
      </c>
      <c r="F2000" s="5"/>
      <c r="G2000" s="8" t="s">
        <v>12</v>
      </c>
      <c r="H2000" s="5"/>
      <c r="I2000" s="8" t="s">
        <v>13</v>
      </c>
      <c r="J2000" s="5"/>
      <c r="K2000" s="8" t="s">
        <v>13</v>
      </c>
      <c r="L2000" s="6"/>
      <c r="M2000" s="8" t="str">
        <f>$M$8</f>
        <v>BASE</v>
      </c>
      <c r="N2000" s="6"/>
      <c r="O2000" s="8" t="str">
        <f>$O$8</f>
        <v>SUPPLEMENTAL</v>
      </c>
      <c r="P2000" s="6"/>
      <c r="Q2000" s="8" t="str">
        <f>$Q$8</f>
        <v>BUDGET</v>
      </c>
    </row>
    <row r="2001" spans="1:21" ht="11.85" customHeight="1" x14ac:dyDescent="0.2">
      <c r="L2001" s="9"/>
      <c r="N2001" s="9"/>
      <c r="P2001" s="9"/>
    </row>
    <row r="2002" spans="1:21" ht="11.85" customHeight="1" x14ac:dyDescent="0.2">
      <c r="A2002" s="3" t="s">
        <v>1014</v>
      </c>
      <c r="C2002" s="2">
        <v>0</v>
      </c>
      <c r="E2002" s="2">
        <v>0</v>
      </c>
      <c r="G2002" s="2">
        <v>0</v>
      </c>
      <c r="I2002" s="2">
        <v>0</v>
      </c>
      <c r="K2002" s="2">
        <v>0</v>
      </c>
      <c r="L2002" s="9"/>
      <c r="M2002" s="2">
        <v>0</v>
      </c>
      <c r="N2002" s="9"/>
      <c r="O2002" s="2">
        <v>25000</v>
      </c>
      <c r="P2002" s="9"/>
      <c r="Q2002" s="2">
        <f>M2002+O2002</f>
        <v>25000</v>
      </c>
    </row>
    <row r="2003" spans="1:21" ht="11.85" customHeight="1" x14ac:dyDescent="0.2">
      <c r="A2003" s="3" t="s">
        <v>1015</v>
      </c>
      <c r="C2003" s="12">
        <v>0</v>
      </c>
      <c r="E2003" s="12">
        <v>0</v>
      </c>
      <c r="G2003" s="12">
        <v>18112.75</v>
      </c>
      <c r="I2003" s="12">
        <v>0</v>
      </c>
      <c r="K2003" s="12">
        <v>0</v>
      </c>
      <c r="L2003" s="9"/>
      <c r="M2003" s="12">
        <v>0</v>
      </c>
      <c r="N2003" s="9"/>
      <c r="O2003" s="12">
        <v>0</v>
      </c>
      <c r="P2003" s="9"/>
      <c r="Q2003" s="12">
        <f>M2003+O2003</f>
        <v>0</v>
      </c>
    </row>
    <row r="2004" spans="1:21" ht="11.85" customHeight="1" x14ac:dyDescent="0.2">
      <c r="A2004" s="3" t="s">
        <v>331</v>
      </c>
      <c r="C2004" s="2">
        <f>SUM(C2002:C2003)</f>
        <v>0</v>
      </c>
      <c r="E2004" s="2">
        <f>SUM(E2002:E2003)</f>
        <v>0</v>
      </c>
      <c r="G2004" s="2">
        <f>SUM(G2002:G2003)</f>
        <v>18112.75</v>
      </c>
      <c r="I2004" s="2">
        <f>SUM(I2002:I2003)</f>
        <v>0</v>
      </c>
      <c r="K2004" s="2">
        <f>SUM(K2002:K2003)</f>
        <v>0</v>
      </c>
      <c r="L2004" s="9"/>
      <c r="M2004" s="2">
        <f>SUM(M2002:M2003)</f>
        <v>0</v>
      </c>
      <c r="N2004" s="9"/>
      <c r="O2004" s="2">
        <f>SUM(O2002:O2003)</f>
        <v>25000</v>
      </c>
      <c r="P2004" s="9"/>
      <c r="Q2004" s="2">
        <f>SUM(Q2002:Q2003)</f>
        <v>25000</v>
      </c>
    </row>
    <row r="2005" spans="1:21" ht="11.85" customHeight="1" x14ac:dyDescent="0.2">
      <c r="L2005" s="9"/>
      <c r="N2005" s="9"/>
      <c r="P2005" s="9"/>
    </row>
    <row r="2006" spans="1:21" ht="11.85" hidden="1" customHeight="1" x14ac:dyDescent="0.2">
      <c r="A2006" s="10" t="s">
        <v>1016</v>
      </c>
      <c r="L2006" s="9"/>
      <c r="N2006" s="9"/>
      <c r="P2006" s="9"/>
    </row>
    <row r="2007" spans="1:21" ht="11.85" hidden="1" customHeight="1" x14ac:dyDescent="0.2">
      <c r="A2007" s="3" t="s">
        <v>1017</v>
      </c>
      <c r="C2007" s="12">
        <v>0</v>
      </c>
      <c r="E2007" s="12">
        <v>0</v>
      </c>
      <c r="G2007" s="12">
        <v>0</v>
      </c>
      <c r="I2007" s="12">
        <v>0</v>
      </c>
      <c r="K2007" s="12">
        <v>0</v>
      </c>
      <c r="L2007" s="9"/>
      <c r="M2007" s="12">
        <v>0</v>
      </c>
      <c r="N2007" s="9"/>
      <c r="O2007" s="12">
        <v>0</v>
      </c>
      <c r="P2007" s="9"/>
      <c r="Q2007" s="12">
        <f>M2007+O2007</f>
        <v>0</v>
      </c>
    </row>
    <row r="2008" spans="1:21" ht="11.85" hidden="1" customHeight="1" x14ac:dyDescent="0.2">
      <c r="A2008" s="3" t="s">
        <v>1018</v>
      </c>
      <c r="C2008" s="2">
        <f>SUM(C2007)</f>
        <v>0</v>
      </c>
      <c r="E2008" s="2">
        <f>SUM(E2007)</f>
        <v>0</v>
      </c>
      <c r="G2008" s="2">
        <f>SUM(G2007)</f>
        <v>0</v>
      </c>
      <c r="I2008" s="2">
        <f>SUM(I2007)</f>
        <v>0</v>
      </c>
      <c r="K2008" s="2">
        <f>SUM(K2007)</f>
        <v>0</v>
      </c>
      <c r="L2008" s="9"/>
      <c r="M2008" s="2">
        <f>SUM(M2007)</f>
        <v>0</v>
      </c>
      <c r="N2008" s="9"/>
      <c r="O2008" s="2">
        <f>SUM(O2007)</f>
        <v>0</v>
      </c>
      <c r="P2008" s="9"/>
      <c r="Q2008" s="2">
        <f>SUM(Q2007)</f>
        <v>0</v>
      </c>
    </row>
    <row r="2009" spans="1:21" ht="11.85" hidden="1" customHeight="1" x14ac:dyDescent="0.2">
      <c r="L2009" s="9"/>
      <c r="N2009" s="9"/>
      <c r="P2009" s="9"/>
    </row>
    <row r="2010" spans="1:21" ht="11.85" hidden="1" customHeight="1" x14ac:dyDescent="0.2">
      <c r="A2010" s="10" t="s">
        <v>332</v>
      </c>
      <c r="L2010" s="9"/>
      <c r="N2010" s="9"/>
      <c r="P2010" s="9"/>
    </row>
    <row r="2011" spans="1:21" ht="11.85" hidden="1" customHeight="1" x14ac:dyDescent="0.2">
      <c r="A2011" s="3" t="s">
        <v>1019</v>
      </c>
      <c r="C2011" s="12">
        <v>0</v>
      </c>
      <c r="E2011" s="12">
        <v>0</v>
      </c>
      <c r="G2011" s="12">
        <v>0</v>
      </c>
      <c r="I2011" s="12">
        <v>0</v>
      </c>
      <c r="K2011" s="12">
        <v>0</v>
      </c>
      <c r="L2011" s="9"/>
      <c r="M2011" s="12">
        <v>0</v>
      </c>
      <c r="N2011" s="9"/>
      <c r="O2011" s="12">
        <v>0</v>
      </c>
      <c r="P2011" s="9"/>
      <c r="Q2011" s="12">
        <f>M2011+O2011</f>
        <v>0</v>
      </c>
    </row>
    <row r="2012" spans="1:21" ht="11.85" hidden="1" customHeight="1" x14ac:dyDescent="0.2">
      <c r="A2012" s="3" t="s">
        <v>336</v>
      </c>
      <c r="C2012" s="2">
        <f>SUM(C2011)</f>
        <v>0</v>
      </c>
      <c r="E2012" s="2">
        <f>SUM(E2011)</f>
        <v>0</v>
      </c>
      <c r="G2012" s="2">
        <f>SUM(G2011)</f>
        <v>0</v>
      </c>
      <c r="I2012" s="2">
        <f>SUM(I2011)</f>
        <v>0</v>
      </c>
      <c r="K2012" s="2">
        <f>SUM(K2011)</f>
        <v>0</v>
      </c>
      <c r="L2012" s="9"/>
      <c r="M2012" s="2">
        <f>SUM(M2011)</f>
        <v>0</v>
      </c>
      <c r="N2012" s="9"/>
      <c r="O2012" s="2">
        <f>SUM(O2011)</f>
        <v>0</v>
      </c>
      <c r="P2012" s="9"/>
      <c r="Q2012" s="2">
        <f>SUM(Q2011)</f>
        <v>0</v>
      </c>
    </row>
    <row r="2013" spans="1:21" ht="11.85" hidden="1" customHeight="1" x14ac:dyDescent="0.2">
      <c r="L2013" s="9"/>
      <c r="N2013" s="9"/>
      <c r="P2013" s="9"/>
    </row>
    <row r="2014" spans="1:21" ht="11.85" hidden="1" customHeight="1" x14ac:dyDescent="0.2">
      <c r="L2014" s="9"/>
      <c r="N2014" s="9"/>
      <c r="P2014" s="9"/>
    </row>
    <row r="2015" spans="1:21" ht="11.85" customHeight="1" x14ac:dyDescent="0.2">
      <c r="A2015" s="3" t="s">
        <v>1020</v>
      </c>
      <c r="C2015" s="2">
        <f>C1947+C1965+C1992+C2004+C2008+C2012</f>
        <v>238967.06</v>
      </c>
      <c r="E2015" s="2">
        <f>E1947+E1965+E1992+E2004+E2008+E2012</f>
        <v>237553.63</v>
      </c>
      <c r="G2015" s="2">
        <f>G1947+G1965+G1992+G2004+G2008+G2012</f>
        <v>282816.36</v>
      </c>
      <c r="I2015" s="2">
        <f>I1947+I1965+I1992+I2004+I2008+I2012</f>
        <v>282932</v>
      </c>
      <c r="K2015" s="2">
        <f>K1947+K1965+K1992+K2004+K2008+K2012</f>
        <v>288518</v>
      </c>
      <c r="L2015" s="9"/>
      <c r="M2015" s="2">
        <f>M1947+M1965+M1992+M2004+M2008+M2012</f>
        <v>282347</v>
      </c>
      <c r="N2015" s="9"/>
      <c r="O2015" s="2">
        <f>O1947+O1965+O1992+O2004+O2008+O2012</f>
        <v>25000</v>
      </c>
      <c r="P2015" s="9"/>
      <c r="Q2015" s="2">
        <f>Q1947+Q1965+Q1992+Q2004+Q2008+Q2012</f>
        <v>307347</v>
      </c>
      <c r="T2015" s="11"/>
      <c r="U2015" s="9"/>
    </row>
    <row r="2016" spans="1:21" ht="11.85" customHeight="1" x14ac:dyDescent="0.2"/>
    <row r="2017" ht="11.85" customHeight="1" x14ac:dyDescent="0.2"/>
    <row r="2018" ht="11.85" customHeight="1" x14ac:dyDescent="0.2"/>
    <row r="2019" ht="11.85" customHeight="1" x14ac:dyDescent="0.2"/>
    <row r="2020" ht="11.85" customHeight="1" x14ac:dyDescent="0.2"/>
    <row r="2021" ht="11.85" customHeight="1" x14ac:dyDescent="0.2"/>
    <row r="2022" ht="11.85" customHeight="1" x14ac:dyDescent="0.2"/>
    <row r="2023" ht="11.85" customHeight="1" x14ac:dyDescent="0.2"/>
    <row r="2024" ht="11.85" customHeight="1" x14ac:dyDescent="0.2"/>
    <row r="2025" ht="11.85" customHeight="1" x14ac:dyDescent="0.2"/>
    <row r="2026" ht="11.85" customHeight="1" x14ac:dyDescent="0.2"/>
    <row r="2027" ht="11.85" customHeight="1" x14ac:dyDescent="0.2"/>
    <row r="2028" ht="11.85" customHeight="1" x14ac:dyDescent="0.2"/>
    <row r="2029" ht="11.85" customHeight="1" x14ac:dyDescent="0.2"/>
    <row r="2030" ht="11.85" customHeight="1" x14ac:dyDescent="0.2"/>
    <row r="2031" ht="11.85" customHeight="1" x14ac:dyDescent="0.2"/>
    <row r="2032" ht="11.85" customHeight="1" x14ac:dyDescent="0.2"/>
    <row r="2033" ht="11.85" customHeight="1" x14ac:dyDescent="0.2"/>
    <row r="2034" ht="11.85" customHeight="1" x14ac:dyDescent="0.2"/>
    <row r="2035" ht="11.85" customHeight="1" x14ac:dyDescent="0.2"/>
    <row r="2036" ht="11.85" customHeight="1" x14ac:dyDescent="0.2"/>
    <row r="2037" ht="11.85" customHeight="1" x14ac:dyDescent="0.2"/>
    <row r="2038" ht="11.85" customHeight="1" x14ac:dyDescent="0.2"/>
    <row r="2039" ht="11.85" customHeight="1" x14ac:dyDescent="0.2"/>
    <row r="2040" ht="11.85" customHeight="1" x14ac:dyDescent="0.2"/>
    <row r="2041" ht="11.85" customHeight="1" x14ac:dyDescent="0.2"/>
    <row r="2042" ht="11.85" customHeight="1" x14ac:dyDescent="0.2"/>
    <row r="2043" ht="11.85" customHeight="1" x14ac:dyDescent="0.2"/>
    <row r="2044" ht="11.85" customHeight="1" x14ac:dyDescent="0.2"/>
    <row r="2045" ht="11.85" customHeight="1" x14ac:dyDescent="0.2"/>
    <row r="2046" ht="11.85" customHeight="1" x14ac:dyDescent="0.2"/>
    <row r="2047" ht="11.85" customHeight="1" x14ac:dyDescent="0.2"/>
    <row r="2048" ht="11.85" customHeight="1" x14ac:dyDescent="0.2"/>
    <row r="2049" spans="1:17" ht="11.85" customHeight="1" x14ac:dyDescent="0.2"/>
    <row r="2050" spans="1:17" ht="11.85" customHeight="1" x14ac:dyDescent="0.2"/>
    <row r="2051" spans="1:17" ht="11.85" customHeight="1" x14ac:dyDescent="0.2"/>
    <row r="2052" spans="1:17" ht="11.85" customHeight="1" x14ac:dyDescent="0.2"/>
    <row r="2053" spans="1:17" ht="11.85" customHeight="1" x14ac:dyDescent="0.2"/>
    <row r="2054" spans="1:17" ht="11.85" customHeight="1" x14ac:dyDescent="0.2"/>
    <row r="2055" spans="1:17" ht="11.85" customHeight="1" x14ac:dyDescent="0.2"/>
    <row r="2056" spans="1:17" ht="11.85" customHeight="1" x14ac:dyDescent="0.2">
      <c r="A2056" s="1"/>
      <c r="B2056" s="1"/>
      <c r="E2056" s="2" t="str">
        <f>$E$1</f>
        <v>CITY OF BRADY</v>
      </c>
    </row>
    <row r="2057" spans="1:17" ht="11.85" customHeight="1" x14ac:dyDescent="0.2">
      <c r="E2057" s="2" t="str">
        <f>$E$2</f>
        <v>BUDGET REPORT</v>
      </c>
    </row>
    <row r="2058" spans="1:17" ht="11.85" customHeight="1" x14ac:dyDescent="0.2">
      <c r="E2058" s="2" t="str">
        <f>$E$3</f>
        <v>FISCAL YEAR 2024 - 2025</v>
      </c>
    </row>
    <row r="2059" spans="1:17" ht="11.85" customHeight="1" x14ac:dyDescent="0.2">
      <c r="A2059" s="3" t="s">
        <v>3</v>
      </c>
    </row>
    <row r="2060" spans="1:17" ht="11.85" customHeight="1" x14ac:dyDescent="0.2">
      <c r="A2060" s="3" t="s">
        <v>1021</v>
      </c>
    </row>
    <row r="2061" spans="1:17" ht="11.85" customHeight="1" x14ac:dyDescent="0.2">
      <c r="I2061" s="53" t="str">
        <f>$I$6</f>
        <v>(----- 2023-2024------)</v>
      </c>
      <c r="J2061" s="53"/>
      <c r="K2061" s="53"/>
      <c r="L2061" s="6"/>
      <c r="M2061" s="54" t="str">
        <f>$M$6</f>
        <v>2024-2025</v>
      </c>
      <c r="N2061" s="54"/>
      <c r="O2061" s="54"/>
      <c r="P2061" s="54"/>
      <c r="Q2061" s="54"/>
    </row>
    <row r="2062" spans="1:17" ht="11.85" customHeight="1" x14ac:dyDescent="0.2">
      <c r="C2062" s="5" t="str">
        <f>$C$7</f>
        <v>2020-2021</v>
      </c>
      <c r="D2062" s="5"/>
      <c r="E2062" s="5" t="str">
        <f>$E$7</f>
        <v>2021-2022</v>
      </c>
      <c r="F2062" s="5"/>
      <c r="G2062" s="5" t="str">
        <f>$G$7</f>
        <v>2022-2023</v>
      </c>
      <c r="H2062" s="5"/>
      <c r="I2062" s="5" t="s">
        <v>9</v>
      </c>
      <c r="J2062" s="5"/>
      <c r="K2062" s="5" t="str">
        <f>+$K$7</f>
        <v>PROJECTED</v>
      </c>
      <c r="L2062" s="6"/>
      <c r="M2062" s="5">
        <f>$M$7</f>
        <v>0</v>
      </c>
      <c r="N2062" s="6"/>
      <c r="O2062" s="5" t="str">
        <f>$O$7</f>
        <v>2024-2025</v>
      </c>
      <c r="P2062" s="6"/>
      <c r="Q2062" s="5" t="str">
        <f>$Q$7</f>
        <v>APPROVED</v>
      </c>
    </row>
    <row r="2063" spans="1:17" ht="11.85" customHeight="1" x14ac:dyDescent="0.2">
      <c r="A2063" s="7" t="s">
        <v>273</v>
      </c>
      <c r="C2063" s="8" t="s">
        <v>12</v>
      </c>
      <c r="D2063" s="5"/>
      <c r="E2063" s="8" t="s">
        <v>12</v>
      </c>
      <c r="F2063" s="5"/>
      <c r="G2063" s="8" t="s">
        <v>12</v>
      </c>
      <c r="H2063" s="5"/>
      <c r="I2063" s="8" t="s">
        <v>13</v>
      </c>
      <c r="J2063" s="5"/>
      <c r="K2063" s="8" t="s">
        <v>13</v>
      </c>
      <c r="L2063" s="6"/>
      <c r="M2063" s="8" t="str">
        <f>$M$8</f>
        <v>BASE</v>
      </c>
      <c r="N2063" s="6"/>
      <c r="O2063" s="8" t="str">
        <f>$O$8</f>
        <v>SUPPLEMENTAL</v>
      </c>
      <c r="P2063" s="6"/>
      <c r="Q2063" s="8" t="str">
        <f>$Q$8</f>
        <v>BUDGET</v>
      </c>
    </row>
    <row r="2064" spans="1:17" ht="11.85" customHeight="1" x14ac:dyDescent="0.2"/>
    <row r="2065" spans="1:20" ht="11.85" customHeight="1" x14ac:dyDescent="0.2">
      <c r="A2065" s="10" t="s">
        <v>286</v>
      </c>
      <c r="L2065" s="9"/>
      <c r="N2065" s="9"/>
      <c r="P2065" s="9"/>
    </row>
    <row r="2066" spans="1:20" ht="11.85" customHeight="1" x14ac:dyDescent="0.2">
      <c r="A2066" s="3" t="s">
        <v>1022</v>
      </c>
      <c r="C2066" s="2">
        <v>5965.52</v>
      </c>
      <c r="E2066" s="2">
        <v>4628.45</v>
      </c>
      <c r="G2066" s="2">
        <v>3344.69</v>
      </c>
      <c r="I2066" s="2">
        <v>5500</v>
      </c>
      <c r="K2066" s="2">
        <v>5500</v>
      </c>
      <c r="L2066" s="9"/>
      <c r="M2066" s="2">
        <v>5500</v>
      </c>
      <c r="N2066" s="9"/>
      <c r="O2066" s="2">
        <v>0</v>
      </c>
      <c r="P2066" s="9"/>
      <c r="Q2066" s="2">
        <f t="shared" ref="Q2066:Q2072" si="70">M2066+O2066</f>
        <v>5500</v>
      </c>
      <c r="T2066" s="11"/>
    </row>
    <row r="2067" spans="1:20" ht="11.85" customHeight="1" x14ac:dyDescent="0.2">
      <c r="A2067" s="3" t="s">
        <v>1023</v>
      </c>
      <c r="C2067" s="2">
        <v>0</v>
      </c>
      <c r="E2067" s="2">
        <v>0</v>
      </c>
      <c r="G2067" s="2">
        <v>0</v>
      </c>
      <c r="I2067" s="2">
        <v>0</v>
      </c>
      <c r="K2067" s="2">
        <v>0</v>
      </c>
      <c r="L2067" s="9"/>
      <c r="M2067" s="2">
        <v>0</v>
      </c>
      <c r="N2067" s="9"/>
      <c r="O2067" s="2">
        <v>0</v>
      </c>
      <c r="P2067" s="9"/>
      <c r="Q2067" s="2">
        <f t="shared" si="70"/>
        <v>0</v>
      </c>
      <c r="T2067" s="11"/>
    </row>
    <row r="2068" spans="1:20" ht="11.85" customHeight="1" x14ac:dyDescent="0.2">
      <c r="A2068" s="3" t="s">
        <v>1024</v>
      </c>
      <c r="C2068" s="2">
        <v>0</v>
      </c>
      <c r="E2068" s="2">
        <v>0</v>
      </c>
      <c r="G2068" s="2">
        <v>0</v>
      </c>
      <c r="I2068" s="2">
        <v>0</v>
      </c>
      <c r="K2068" s="2">
        <v>0</v>
      </c>
      <c r="L2068" s="9"/>
      <c r="M2068" s="2">
        <v>0</v>
      </c>
      <c r="N2068" s="9"/>
      <c r="O2068" s="2">
        <v>0</v>
      </c>
      <c r="P2068" s="9"/>
      <c r="Q2068" s="2">
        <f t="shared" si="70"/>
        <v>0</v>
      </c>
      <c r="T2068" s="11"/>
    </row>
    <row r="2069" spans="1:20" ht="11.85" hidden="1" customHeight="1" x14ac:dyDescent="0.2">
      <c r="A2069" s="3" t="s">
        <v>1025</v>
      </c>
      <c r="C2069" s="2">
        <v>0</v>
      </c>
      <c r="E2069" s="2">
        <v>0</v>
      </c>
      <c r="G2069" s="2">
        <v>0</v>
      </c>
      <c r="I2069" s="2">
        <v>0</v>
      </c>
      <c r="K2069" s="2">
        <v>0</v>
      </c>
      <c r="L2069" s="9"/>
      <c r="M2069" s="2">
        <v>0</v>
      </c>
      <c r="N2069" s="9"/>
      <c r="O2069" s="2">
        <v>0</v>
      </c>
      <c r="P2069" s="9"/>
      <c r="Q2069" s="2">
        <f t="shared" si="70"/>
        <v>0</v>
      </c>
      <c r="T2069" s="11"/>
    </row>
    <row r="2070" spans="1:20" ht="11.85" customHeight="1" x14ac:dyDescent="0.2">
      <c r="A2070" s="3" t="s">
        <v>1026</v>
      </c>
      <c r="C2070" s="2">
        <v>0</v>
      </c>
      <c r="E2070" s="2">
        <v>0</v>
      </c>
      <c r="G2070" s="2">
        <v>0</v>
      </c>
      <c r="I2070" s="2">
        <v>0</v>
      </c>
      <c r="K2070" s="2">
        <v>0</v>
      </c>
      <c r="L2070" s="9"/>
      <c r="M2070" s="2">
        <v>0</v>
      </c>
      <c r="N2070" s="9"/>
      <c r="O2070" s="2">
        <v>0</v>
      </c>
      <c r="P2070" s="9"/>
      <c r="Q2070" s="2">
        <f t="shared" si="70"/>
        <v>0</v>
      </c>
      <c r="T2070" s="11"/>
    </row>
    <row r="2071" spans="1:20" ht="11.85" customHeight="1" x14ac:dyDescent="0.2">
      <c r="A2071" s="3" t="s">
        <v>1027</v>
      </c>
      <c r="C2071" s="2">
        <v>0</v>
      </c>
      <c r="E2071" s="2">
        <v>0</v>
      </c>
      <c r="G2071" s="2">
        <v>0</v>
      </c>
      <c r="I2071" s="2">
        <v>0</v>
      </c>
      <c r="K2071" s="2">
        <v>0</v>
      </c>
      <c r="L2071" s="9"/>
      <c r="M2071" s="2">
        <v>0</v>
      </c>
      <c r="N2071" s="9"/>
      <c r="O2071" s="2">
        <v>0</v>
      </c>
      <c r="P2071" s="9"/>
      <c r="Q2071" s="2">
        <f t="shared" si="70"/>
        <v>0</v>
      </c>
      <c r="T2071" s="11"/>
    </row>
    <row r="2072" spans="1:20" ht="11.85" customHeight="1" x14ac:dyDescent="0.2">
      <c r="A2072" s="3" t="s">
        <v>1028</v>
      </c>
      <c r="C2072" s="12">
        <v>0</v>
      </c>
      <c r="E2072" s="12">
        <v>0</v>
      </c>
      <c r="G2072" s="12">
        <v>0</v>
      </c>
      <c r="I2072" s="12">
        <v>0</v>
      </c>
      <c r="K2072" s="12">
        <v>0</v>
      </c>
      <c r="L2072" s="9"/>
      <c r="M2072" s="12">
        <v>0</v>
      </c>
      <c r="N2072" s="9"/>
      <c r="O2072" s="12">
        <v>0</v>
      </c>
      <c r="P2072" s="9"/>
      <c r="Q2072" s="12">
        <f t="shared" si="70"/>
        <v>0</v>
      </c>
      <c r="T2072" s="11"/>
    </row>
    <row r="2073" spans="1:20" ht="11.85" customHeight="1" x14ac:dyDescent="0.2">
      <c r="A2073" s="3" t="s">
        <v>304</v>
      </c>
      <c r="C2073" s="2">
        <f>SUM(C2066:C2072)</f>
        <v>5965.52</v>
      </c>
      <c r="E2073" s="2">
        <f>SUM(E2066:E2072)</f>
        <v>4628.45</v>
      </c>
      <c r="G2073" s="2">
        <f>SUM(G2066:G2072)</f>
        <v>3344.69</v>
      </c>
      <c r="I2073" s="2">
        <f>SUM(I2066:I2072)</f>
        <v>5500</v>
      </c>
      <c r="K2073" s="2">
        <f>SUM(K2066:K2072)</f>
        <v>5500</v>
      </c>
      <c r="L2073" s="9"/>
      <c r="M2073" s="2">
        <f>SUM(M2066:M2072)</f>
        <v>5500</v>
      </c>
      <c r="N2073" s="9"/>
      <c r="O2073" s="2">
        <f>SUM(O2066:O2072)</f>
        <v>0</v>
      </c>
      <c r="P2073" s="9"/>
      <c r="Q2073" s="2">
        <f>SUM(Q2066:Q2072)</f>
        <v>5500</v>
      </c>
    </row>
    <row r="2074" spans="1:20" ht="11.85" customHeight="1" x14ac:dyDescent="0.2">
      <c r="L2074" s="9"/>
      <c r="N2074" s="9"/>
      <c r="P2074" s="9"/>
    </row>
    <row r="2075" spans="1:20" ht="11.85" customHeight="1" x14ac:dyDescent="0.2">
      <c r="A2075" s="10" t="s">
        <v>305</v>
      </c>
      <c r="L2075" s="9"/>
      <c r="N2075" s="9"/>
      <c r="P2075" s="9"/>
    </row>
    <row r="2076" spans="1:20" ht="11.85" customHeight="1" x14ac:dyDescent="0.2">
      <c r="A2076" s="3" t="s">
        <v>1029</v>
      </c>
      <c r="C2076" s="2">
        <v>0</v>
      </c>
      <c r="E2076" s="2">
        <v>0</v>
      </c>
      <c r="G2076" s="2">
        <v>0</v>
      </c>
      <c r="I2076" s="2">
        <v>0</v>
      </c>
      <c r="K2076" s="2">
        <v>0</v>
      </c>
      <c r="L2076" s="9"/>
      <c r="M2076" s="2">
        <v>0</v>
      </c>
      <c r="N2076" s="9"/>
      <c r="O2076" s="2">
        <v>0</v>
      </c>
      <c r="P2076" s="9"/>
      <c r="Q2076" s="2">
        <f>M2076+O2076</f>
        <v>0</v>
      </c>
      <c r="T2076" s="11"/>
    </row>
    <row r="2077" spans="1:20" ht="11.85" customHeight="1" x14ac:dyDescent="0.2">
      <c r="A2077" s="3" t="s">
        <v>1030</v>
      </c>
      <c r="C2077" s="2">
        <v>0</v>
      </c>
      <c r="E2077" s="2">
        <v>0</v>
      </c>
      <c r="G2077" s="2">
        <v>0</v>
      </c>
      <c r="I2077" s="2">
        <v>0</v>
      </c>
      <c r="K2077" s="2">
        <v>0</v>
      </c>
      <c r="L2077" s="9"/>
      <c r="M2077" s="2">
        <v>0</v>
      </c>
      <c r="N2077" s="9"/>
      <c r="O2077" s="2">
        <v>0</v>
      </c>
      <c r="P2077" s="9"/>
      <c r="Q2077" s="2">
        <f>M2077+O2077</f>
        <v>0</v>
      </c>
      <c r="T2077" s="11"/>
    </row>
    <row r="2078" spans="1:20" ht="11.85" customHeight="1" x14ac:dyDescent="0.2">
      <c r="A2078" s="3" t="s">
        <v>1031</v>
      </c>
      <c r="C2078" s="2">
        <v>26.16</v>
      </c>
      <c r="E2078" s="2">
        <v>0</v>
      </c>
      <c r="G2078" s="2">
        <v>35.96</v>
      </c>
      <c r="I2078" s="2">
        <v>1000</v>
      </c>
      <c r="K2078" s="2">
        <v>1000</v>
      </c>
      <c r="L2078" s="9"/>
      <c r="M2078" s="2">
        <v>1000</v>
      </c>
      <c r="N2078" s="9"/>
      <c r="O2078" s="2">
        <v>0</v>
      </c>
      <c r="P2078" s="9"/>
      <c r="Q2078" s="2">
        <f>M2078+O2078</f>
        <v>1000</v>
      </c>
      <c r="T2078" s="11"/>
    </row>
    <row r="2079" spans="1:20" ht="11.85" customHeight="1" x14ac:dyDescent="0.2">
      <c r="A2079" s="3" t="s">
        <v>1032</v>
      </c>
      <c r="C2079" s="2">
        <v>0</v>
      </c>
      <c r="E2079" s="2">
        <v>0</v>
      </c>
      <c r="G2079" s="2">
        <v>0</v>
      </c>
      <c r="I2079" s="2">
        <v>0</v>
      </c>
      <c r="K2079" s="2">
        <v>0</v>
      </c>
      <c r="L2079" s="9"/>
      <c r="M2079" s="2">
        <v>0</v>
      </c>
      <c r="N2079" s="9"/>
      <c r="O2079" s="2">
        <v>0</v>
      </c>
      <c r="P2079" s="9"/>
      <c r="Q2079" s="2">
        <f>M2079+O2079</f>
        <v>0</v>
      </c>
      <c r="T2079" s="11"/>
    </row>
    <row r="2080" spans="1:20" ht="11.85" customHeight="1" x14ac:dyDescent="0.2">
      <c r="A2080" s="3" t="s">
        <v>1033</v>
      </c>
      <c r="C2080" s="12">
        <v>0</v>
      </c>
      <c r="E2080" s="12">
        <v>0</v>
      </c>
      <c r="G2080" s="12">
        <v>0</v>
      </c>
      <c r="I2080" s="12">
        <v>0</v>
      </c>
      <c r="K2080" s="12">
        <v>0</v>
      </c>
      <c r="L2080" s="9"/>
      <c r="M2080" s="12">
        <v>0</v>
      </c>
      <c r="N2080" s="9"/>
      <c r="O2080" s="12">
        <v>0</v>
      </c>
      <c r="P2080" s="9"/>
      <c r="Q2080" s="12">
        <f>M2080+O2080</f>
        <v>0</v>
      </c>
      <c r="T2080" s="11"/>
    </row>
    <row r="2081" spans="1:20" ht="11.85" customHeight="1" x14ac:dyDescent="0.2">
      <c r="A2081" s="3" t="s">
        <v>328</v>
      </c>
      <c r="C2081" s="2">
        <f>SUM(C2076:C2080)</f>
        <v>26.16</v>
      </c>
      <c r="E2081" s="2">
        <f>SUM(E2076:E2080)</f>
        <v>0</v>
      </c>
      <c r="G2081" s="2">
        <f>SUM(G2076:G2080)</f>
        <v>35.96</v>
      </c>
      <c r="I2081" s="2">
        <f>SUM(I2076:I2080)</f>
        <v>1000</v>
      </c>
      <c r="K2081" s="2">
        <f>SUM(K2076:K2080)</f>
        <v>1000</v>
      </c>
      <c r="L2081" s="9"/>
      <c r="M2081" s="2">
        <f>SUM(M2076:M2080)</f>
        <v>1000</v>
      </c>
      <c r="N2081" s="9"/>
      <c r="O2081" s="2">
        <f>SUM(O2076:O2080)</f>
        <v>0</v>
      </c>
      <c r="P2081" s="9"/>
      <c r="Q2081" s="2">
        <f>SUM(Q2076:Q2080)</f>
        <v>1000</v>
      </c>
    </row>
    <row r="2082" spans="1:20" ht="11.85" customHeight="1" x14ac:dyDescent="0.2">
      <c r="L2082" s="9"/>
      <c r="N2082" s="9"/>
      <c r="P2082" s="9"/>
    </row>
    <row r="2083" spans="1:20" ht="11.85" customHeight="1" x14ac:dyDescent="0.2">
      <c r="A2083" s="3" t="s">
        <v>1034</v>
      </c>
      <c r="C2083" s="2">
        <v>0</v>
      </c>
      <c r="E2083" s="2">
        <v>0</v>
      </c>
      <c r="G2083" s="2">
        <v>0</v>
      </c>
      <c r="I2083" s="2">
        <v>0</v>
      </c>
      <c r="K2083" s="2">
        <v>0</v>
      </c>
      <c r="L2083" s="9"/>
      <c r="M2083" s="2">
        <v>0</v>
      </c>
      <c r="N2083" s="9"/>
      <c r="O2083" s="2">
        <v>0</v>
      </c>
      <c r="P2083" s="9"/>
      <c r="Q2083" s="2">
        <f>M2083+O2083</f>
        <v>0</v>
      </c>
      <c r="T2083" s="11"/>
    </row>
    <row r="2084" spans="1:20" ht="11.85" customHeight="1" x14ac:dyDescent="0.2">
      <c r="A2084" s="3" t="s">
        <v>1035</v>
      </c>
      <c r="C2084" s="12">
        <v>0</v>
      </c>
      <c r="E2084" s="12">
        <v>0</v>
      </c>
      <c r="G2084" s="12">
        <v>0</v>
      </c>
      <c r="I2084" s="12">
        <v>0</v>
      </c>
      <c r="K2084" s="12">
        <v>0</v>
      </c>
      <c r="L2084" s="9"/>
      <c r="M2084" s="12">
        <v>0</v>
      </c>
      <c r="N2084" s="9"/>
      <c r="O2084" s="12">
        <v>0</v>
      </c>
      <c r="P2084" s="9"/>
      <c r="Q2084" s="12">
        <f>M2084+O2084</f>
        <v>0</v>
      </c>
      <c r="T2084" s="11"/>
    </row>
    <row r="2085" spans="1:20" ht="11.85" customHeight="1" x14ac:dyDescent="0.2">
      <c r="A2085" s="3" t="s">
        <v>331</v>
      </c>
      <c r="C2085" s="2">
        <f>SUM(C2083:C2084)</f>
        <v>0</v>
      </c>
      <c r="E2085" s="2">
        <f>SUM(E2083:E2084)</f>
        <v>0</v>
      </c>
      <c r="G2085" s="2">
        <f>SUM(G2083:G2084)</f>
        <v>0</v>
      </c>
      <c r="I2085" s="2">
        <f>SUM(I2083:I2084)</f>
        <v>0</v>
      </c>
      <c r="K2085" s="2">
        <f>SUM(K2083:K2084)</f>
        <v>0</v>
      </c>
      <c r="L2085" s="9"/>
      <c r="M2085" s="2">
        <f>SUM(M2083:M2084)</f>
        <v>0</v>
      </c>
      <c r="N2085" s="9"/>
      <c r="O2085" s="2">
        <f>SUM(O2083:O2084)</f>
        <v>0</v>
      </c>
      <c r="P2085" s="9"/>
      <c r="Q2085" s="2">
        <f>SUM(Q2083:Q2084)</f>
        <v>0</v>
      </c>
    </row>
    <row r="2086" spans="1:20" ht="11.85" customHeight="1" x14ac:dyDescent="0.2">
      <c r="L2086" s="9"/>
      <c r="N2086" s="9"/>
      <c r="P2086" s="9"/>
    </row>
    <row r="2087" spans="1:20" ht="11.85" customHeight="1" x14ac:dyDescent="0.2">
      <c r="A2087" s="3" t="s">
        <v>1036</v>
      </c>
      <c r="C2087" s="2">
        <f>+C2073+C2081+C2085</f>
        <v>5991.68</v>
      </c>
      <c r="E2087" s="2">
        <f>+E2073+E2081+E2085</f>
        <v>4628.45</v>
      </c>
      <c r="G2087" s="2">
        <f>+G2073+G2081+G2085</f>
        <v>3380.65</v>
      </c>
      <c r="I2087" s="2">
        <f>+I2073+I2081+I2085</f>
        <v>6500</v>
      </c>
      <c r="K2087" s="2">
        <f>+K2073+K2081+K2085</f>
        <v>6500</v>
      </c>
      <c r="L2087" s="9"/>
      <c r="M2087" s="2">
        <f>+M2073+M2081+M2085</f>
        <v>6500</v>
      </c>
      <c r="N2087" s="9"/>
      <c r="O2087" s="2">
        <f>+O2073+O2081+O2085</f>
        <v>0</v>
      </c>
      <c r="P2087" s="9"/>
      <c r="Q2087" s="2">
        <f>+Q2073+Q2081+Q2085</f>
        <v>6500</v>
      </c>
      <c r="T2087" s="11"/>
    </row>
    <row r="2088" spans="1:20" ht="11.85" customHeight="1" x14ac:dyDescent="0.2">
      <c r="L2088" s="9"/>
      <c r="N2088" s="9"/>
      <c r="P2088" s="9"/>
    </row>
    <row r="2089" spans="1:20" ht="11.85" customHeight="1" x14ac:dyDescent="0.2">
      <c r="L2089" s="9"/>
      <c r="N2089" s="9"/>
      <c r="P2089" s="9"/>
    </row>
    <row r="2090" spans="1:20" ht="11.85" customHeight="1" x14ac:dyDescent="0.2">
      <c r="L2090" s="9"/>
      <c r="N2090" s="9"/>
      <c r="P2090" s="9"/>
    </row>
    <row r="2091" spans="1:20" ht="11.85" customHeight="1" x14ac:dyDescent="0.2">
      <c r="L2091" s="9"/>
      <c r="N2091" s="9"/>
      <c r="P2091" s="9"/>
    </row>
    <row r="2092" spans="1:20" ht="11.85" customHeight="1" x14ac:dyDescent="0.2">
      <c r="L2092" s="9"/>
      <c r="N2092" s="9"/>
      <c r="P2092" s="9"/>
    </row>
    <row r="2093" spans="1:20" ht="11.85" customHeight="1" x14ac:dyDescent="0.2">
      <c r="L2093" s="9"/>
      <c r="N2093" s="9"/>
      <c r="P2093" s="9"/>
    </row>
    <row r="2094" spans="1:20" ht="11.85" customHeight="1" x14ac:dyDescent="0.2">
      <c r="L2094" s="9"/>
      <c r="N2094" s="9"/>
      <c r="P2094" s="9"/>
    </row>
    <row r="2095" spans="1:20" ht="11.85" customHeight="1" x14ac:dyDescent="0.2">
      <c r="L2095" s="9"/>
      <c r="N2095" s="9"/>
      <c r="P2095" s="9"/>
    </row>
    <row r="2096" spans="1:20" ht="11.85" customHeight="1" x14ac:dyDescent="0.2">
      <c r="L2096" s="9"/>
      <c r="N2096" s="9"/>
      <c r="P2096" s="9"/>
    </row>
    <row r="2097" spans="12:16" ht="11.85" customHeight="1" x14ac:dyDescent="0.2">
      <c r="L2097" s="9"/>
      <c r="N2097" s="9"/>
      <c r="P2097" s="9"/>
    </row>
    <row r="2098" spans="12:16" ht="11.85" customHeight="1" x14ac:dyDescent="0.2">
      <c r="L2098" s="9"/>
      <c r="N2098" s="9"/>
      <c r="P2098" s="9"/>
    </row>
    <row r="2099" spans="12:16" ht="11.85" customHeight="1" x14ac:dyDescent="0.2">
      <c r="L2099" s="9"/>
      <c r="N2099" s="9"/>
      <c r="P2099" s="9"/>
    </row>
    <row r="2100" spans="12:16" ht="11.85" customHeight="1" x14ac:dyDescent="0.2">
      <c r="L2100" s="9"/>
      <c r="N2100" s="9"/>
      <c r="P2100" s="9"/>
    </row>
    <row r="2101" spans="12:16" ht="11.85" customHeight="1" x14ac:dyDescent="0.2">
      <c r="L2101" s="9"/>
      <c r="N2101" s="9"/>
      <c r="P2101" s="9"/>
    </row>
    <row r="2102" spans="12:16" ht="11.85" customHeight="1" x14ac:dyDescent="0.2">
      <c r="L2102" s="9"/>
      <c r="N2102" s="9"/>
      <c r="P2102" s="9"/>
    </row>
    <row r="2103" spans="12:16" ht="11.85" customHeight="1" x14ac:dyDescent="0.2"/>
    <row r="2104" spans="12:16" ht="11.85" customHeight="1" x14ac:dyDescent="0.2"/>
    <row r="2105" spans="12:16" ht="11.85" customHeight="1" x14ac:dyDescent="0.2"/>
    <row r="2106" spans="12:16" ht="11.85" customHeight="1" x14ac:dyDescent="0.2"/>
    <row r="2107" spans="12:16" ht="11.85" customHeight="1" x14ac:dyDescent="0.2"/>
    <row r="2108" spans="12:16" ht="11.85" customHeight="1" x14ac:dyDescent="0.2"/>
    <row r="2109" spans="12:16" ht="11.85" customHeight="1" x14ac:dyDescent="0.2"/>
    <row r="2110" spans="12:16" ht="11.85" customHeight="1" x14ac:dyDescent="0.2"/>
    <row r="2111" spans="12:16" ht="11.85" customHeight="1" x14ac:dyDescent="0.2"/>
    <row r="2112" spans="12:16" ht="11.85" customHeight="1" x14ac:dyDescent="0.2"/>
    <row r="2113" spans="1:17" ht="11.85" customHeight="1" x14ac:dyDescent="0.2"/>
    <row r="2114" spans="1:17" ht="11.85" customHeight="1" x14ac:dyDescent="0.2"/>
    <row r="2115" spans="1:17" ht="11.85" customHeight="1" x14ac:dyDescent="0.2"/>
    <row r="2116" spans="1:17" ht="11.85" customHeight="1" x14ac:dyDescent="0.2"/>
    <row r="2117" spans="1:17" ht="11.85" customHeight="1" x14ac:dyDescent="0.2"/>
    <row r="2118" spans="1:17" ht="11.85" customHeight="1" x14ac:dyDescent="0.2"/>
    <row r="2119" spans="1:17" ht="11.85" customHeight="1" x14ac:dyDescent="0.2">
      <c r="A2119" s="1"/>
      <c r="B2119" s="1"/>
      <c r="E2119" s="2" t="str">
        <f>$E$1</f>
        <v>CITY OF BRADY</v>
      </c>
    </row>
    <row r="2120" spans="1:17" ht="11.85" customHeight="1" x14ac:dyDescent="0.2">
      <c r="E2120" s="2" t="str">
        <f>$E$2</f>
        <v>BUDGET REPORT</v>
      </c>
    </row>
    <row r="2121" spans="1:17" ht="11.85" customHeight="1" x14ac:dyDescent="0.2">
      <c r="E2121" s="2" t="str">
        <f>$E$3</f>
        <v>FISCAL YEAR 2024 - 2025</v>
      </c>
    </row>
    <row r="2122" spans="1:17" ht="11.85" customHeight="1" x14ac:dyDescent="0.2">
      <c r="A2122" s="3" t="s">
        <v>3</v>
      </c>
    </row>
    <row r="2123" spans="1:17" ht="11.85" customHeight="1" x14ac:dyDescent="0.2">
      <c r="A2123" s="3" t="s">
        <v>1037</v>
      </c>
    </row>
    <row r="2124" spans="1:17" ht="11.85" customHeight="1" x14ac:dyDescent="0.2">
      <c r="I2124" s="53" t="str">
        <f>$I$6</f>
        <v>(----- 2023-2024------)</v>
      </c>
      <c r="J2124" s="53"/>
      <c r="K2124" s="53"/>
      <c r="L2124" s="6"/>
      <c r="M2124" s="54" t="str">
        <f>$M$6</f>
        <v>2024-2025</v>
      </c>
      <c r="N2124" s="54"/>
      <c r="O2124" s="54"/>
      <c r="P2124" s="54"/>
      <c r="Q2124" s="54"/>
    </row>
    <row r="2125" spans="1:17" ht="11.85" customHeight="1" x14ac:dyDescent="0.2">
      <c r="C2125" s="5" t="str">
        <f>$C$7</f>
        <v>2020-2021</v>
      </c>
      <c r="D2125" s="5"/>
      <c r="E2125" s="5" t="str">
        <f>$E$7</f>
        <v>2021-2022</v>
      </c>
      <c r="F2125" s="5"/>
      <c r="G2125" s="5" t="str">
        <f>$G$7</f>
        <v>2022-2023</v>
      </c>
      <c r="H2125" s="5"/>
      <c r="I2125" s="5" t="s">
        <v>9</v>
      </c>
      <c r="J2125" s="5"/>
      <c r="K2125" s="5" t="str">
        <f>+$K$7</f>
        <v>PROJECTED</v>
      </c>
      <c r="L2125" s="6"/>
      <c r="M2125" s="5">
        <f>$M$7</f>
        <v>0</v>
      </c>
      <c r="N2125" s="6"/>
      <c r="O2125" s="5" t="str">
        <f>$O$7</f>
        <v>2024-2025</v>
      </c>
      <c r="P2125" s="6"/>
      <c r="Q2125" s="5" t="str">
        <f>$Q$7</f>
        <v>APPROVED</v>
      </c>
    </row>
    <row r="2126" spans="1:17" ht="11.85" customHeight="1" x14ac:dyDescent="0.2">
      <c r="A2126" s="7" t="s">
        <v>273</v>
      </c>
      <c r="C2126" s="8" t="s">
        <v>12</v>
      </c>
      <c r="D2126" s="5"/>
      <c r="E2126" s="8" t="s">
        <v>12</v>
      </c>
      <c r="F2126" s="5"/>
      <c r="G2126" s="8" t="s">
        <v>12</v>
      </c>
      <c r="H2126" s="5"/>
      <c r="I2126" s="8" t="s">
        <v>13</v>
      </c>
      <c r="J2126" s="5"/>
      <c r="K2126" s="8" t="s">
        <v>13</v>
      </c>
      <c r="L2126" s="6"/>
      <c r="M2126" s="8" t="str">
        <f>$M$8</f>
        <v>BASE</v>
      </c>
      <c r="N2126" s="6"/>
      <c r="O2126" s="8" t="str">
        <f>$O$8</f>
        <v>SUPPLEMENTAL</v>
      </c>
      <c r="P2126" s="6"/>
      <c r="Q2126" s="8" t="str">
        <f>$Q$8</f>
        <v>BUDGET</v>
      </c>
    </row>
    <row r="2127" spans="1:17" ht="11.85" customHeight="1" x14ac:dyDescent="0.2"/>
    <row r="2128" spans="1:17" ht="11.85" customHeight="1" x14ac:dyDescent="0.2">
      <c r="A2128" s="3" t="s">
        <v>274</v>
      </c>
    </row>
    <row r="2129" spans="1:21" ht="11.85" customHeight="1" x14ac:dyDescent="0.2">
      <c r="A2129" s="3" t="s">
        <v>1038</v>
      </c>
      <c r="C2129" s="2">
        <v>0</v>
      </c>
      <c r="E2129" s="2">
        <v>0</v>
      </c>
      <c r="G2129" s="2">
        <v>0</v>
      </c>
      <c r="I2129" s="2">
        <v>0</v>
      </c>
      <c r="K2129" s="2">
        <v>0</v>
      </c>
      <c r="L2129" s="9"/>
      <c r="M2129" s="2">
        <v>0</v>
      </c>
      <c r="N2129" s="9"/>
      <c r="O2129" s="2">
        <v>0</v>
      </c>
      <c r="P2129" s="9"/>
      <c r="Q2129" s="2">
        <f t="shared" ref="Q2129:Q2136" si="71">M2129+O2129</f>
        <v>0</v>
      </c>
      <c r="T2129" s="11"/>
    </row>
    <row r="2130" spans="1:21" ht="11.85" customHeight="1" x14ac:dyDescent="0.2">
      <c r="A2130" s="3" t="s">
        <v>1039</v>
      </c>
      <c r="C2130" s="2">
        <v>0</v>
      </c>
      <c r="E2130" s="2">
        <v>0</v>
      </c>
      <c r="G2130" s="2">
        <v>0</v>
      </c>
      <c r="I2130" s="2">
        <v>0</v>
      </c>
      <c r="K2130" s="2">
        <v>0</v>
      </c>
      <c r="L2130" s="9"/>
      <c r="M2130" s="2">
        <v>0</v>
      </c>
      <c r="N2130" s="9"/>
      <c r="O2130" s="2">
        <v>0</v>
      </c>
      <c r="P2130" s="9"/>
      <c r="Q2130" s="2">
        <f t="shared" si="71"/>
        <v>0</v>
      </c>
      <c r="T2130" s="11"/>
    </row>
    <row r="2131" spans="1:21" ht="11.85" customHeight="1" x14ac:dyDescent="0.2">
      <c r="A2131" s="3" t="s">
        <v>1040</v>
      </c>
      <c r="C2131" s="2">
        <v>0</v>
      </c>
      <c r="E2131" s="2">
        <v>0</v>
      </c>
      <c r="G2131" s="2">
        <v>0</v>
      </c>
      <c r="I2131" s="2">
        <v>0</v>
      </c>
      <c r="K2131" s="2">
        <v>0</v>
      </c>
      <c r="L2131" s="9"/>
      <c r="M2131" s="2">
        <v>0</v>
      </c>
      <c r="N2131" s="9"/>
      <c r="O2131" s="2">
        <v>0</v>
      </c>
      <c r="P2131" s="9"/>
      <c r="Q2131" s="2">
        <f t="shared" si="71"/>
        <v>0</v>
      </c>
      <c r="T2131" s="11"/>
    </row>
    <row r="2132" spans="1:21" ht="11.85" customHeight="1" x14ac:dyDescent="0.2">
      <c r="A2132" s="3" t="s">
        <v>1041</v>
      </c>
      <c r="C2132" s="2">
        <v>0</v>
      </c>
      <c r="E2132" s="2">
        <v>0</v>
      </c>
      <c r="G2132" s="2">
        <v>0</v>
      </c>
      <c r="I2132" s="2">
        <v>0</v>
      </c>
      <c r="K2132" s="2">
        <v>0</v>
      </c>
      <c r="L2132" s="9"/>
      <c r="M2132" s="2">
        <v>0</v>
      </c>
      <c r="N2132" s="9"/>
      <c r="O2132" s="2">
        <v>0</v>
      </c>
      <c r="P2132" s="9"/>
      <c r="Q2132" s="2">
        <f t="shared" si="71"/>
        <v>0</v>
      </c>
      <c r="T2132" s="11"/>
    </row>
    <row r="2133" spans="1:21" ht="11.85" customHeight="1" x14ac:dyDescent="0.2">
      <c r="A2133" s="3" t="s">
        <v>1042</v>
      </c>
      <c r="C2133" s="2">
        <v>0</v>
      </c>
      <c r="E2133" s="2">
        <v>0</v>
      </c>
      <c r="G2133" s="2">
        <v>0</v>
      </c>
      <c r="I2133" s="2">
        <v>0</v>
      </c>
      <c r="K2133" s="2">
        <v>0</v>
      </c>
      <c r="L2133" s="9"/>
      <c r="M2133" s="2">
        <v>0</v>
      </c>
      <c r="N2133" s="9"/>
      <c r="O2133" s="2">
        <v>0</v>
      </c>
      <c r="P2133" s="9"/>
      <c r="Q2133" s="2">
        <f t="shared" si="71"/>
        <v>0</v>
      </c>
      <c r="T2133" s="11"/>
    </row>
    <row r="2134" spans="1:21" ht="11.85" customHeight="1" x14ac:dyDescent="0.2">
      <c r="A2134" s="3" t="s">
        <v>1043</v>
      </c>
      <c r="C2134" s="2">
        <v>0</v>
      </c>
      <c r="E2134" s="2">
        <v>0</v>
      </c>
      <c r="G2134" s="2">
        <v>0</v>
      </c>
      <c r="I2134" s="2">
        <v>0</v>
      </c>
      <c r="K2134" s="2">
        <v>0</v>
      </c>
      <c r="L2134" s="9"/>
      <c r="M2134" s="2">
        <v>0</v>
      </c>
      <c r="N2134" s="9"/>
      <c r="O2134" s="2">
        <v>0</v>
      </c>
      <c r="P2134" s="9"/>
      <c r="Q2134" s="2">
        <f t="shared" si="71"/>
        <v>0</v>
      </c>
      <c r="T2134" s="11"/>
    </row>
    <row r="2135" spans="1:21" ht="11.85" customHeight="1" x14ac:dyDescent="0.2">
      <c r="A2135" s="3" t="s">
        <v>1044</v>
      </c>
      <c r="C2135" s="2">
        <v>0</v>
      </c>
      <c r="E2135" s="2">
        <v>0</v>
      </c>
      <c r="G2135" s="2">
        <v>0</v>
      </c>
      <c r="I2135" s="2">
        <v>0</v>
      </c>
      <c r="K2135" s="2">
        <v>0</v>
      </c>
      <c r="L2135" s="9"/>
      <c r="M2135" s="2">
        <v>0</v>
      </c>
      <c r="N2135" s="9"/>
      <c r="O2135" s="2">
        <v>0</v>
      </c>
      <c r="P2135" s="9"/>
      <c r="Q2135" s="2">
        <f t="shared" si="71"/>
        <v>0</v>
      </c>
      <c r="T2135" s="11"/>
    </row>
    <row r="2136" spans="1:21" ht="11.85" customHeight="1" x14ac:dyDescent="0.2">
      <c r="A2136" s="3" t="s">
        <v>1045</v>
      </c>
      <c r="C2136" s="12">
        <v>0</v>
      </c>
      <c r="E2136" s="12">
        <v>0</v>
      </c>
      <c r="G2136" s="12">
        <v>0</v>
      </c>
      <c r="I2136" s="12">
        <v>0</v>
      </c>
      <c r="K2136" s="12">
        <v>0</v>
      </c>
      <c r="L2136" s="9"/>
      <c r="M2136" s="12">
        <v>0</v>
      </c>
      <c r="N2136" s="9"/>
      <c r="O2136" s="12">
        <v>0</v>
      </c>
      <c r="P2136" s="9"/>
      <c r="Q2136" s="12">
        <f t="shared" si="71"/>
        <v>0</v>
      </c>
      <c r="T2136" s="11"/>
    </row>
    <row r="2137" spans="1:21" ht="11.85" customHeight="1" x14ac:dyDescent="0.2">
      <c r="A2137" s="3" t="s">
        <v>285</v>
      </c>
      <c r="C2137" s="2">
        <f>SUM(C2129:C2136)</f>
        <v>0</v>
      </c>
      <c r="E2137" s="2">
        <f>SUM(E2129:E2136)</f>
        <v>0</v>
      </c>
      <c r="G2137" s="2">
        <f>SUM(G2129:G2136)</f>
        <v>0</v>
      </c>
      <c r="I2137" s="2">
        <f>SUM(I2129:I2136)</f>
        <v>0</v>
      </c>
      <c r="K2137" s="2">
        <f>SUM(K2129:K2136)</f>
        <v>0</v>
      </c>
      <c r="L2137" s="9"/>
      <c r="M2137" s="2">
        <f>SUM(M2129:M2136)</f>
        <v>0</v>
      </c>
      <c r="N2137" s="9"/>
      <c r="O2137" s="2">
        <f>SUM(O2129:O2136)</f>
        <v>0</v>
      </c>
      <c r="P2137" s="9"/>
      <c r="Q2137" s="2">
        <f>SUM(Q2129:Q2136)</f>
        <v>0</v>
      </c>
      <c r="R2137" s="9"/>
      <c r="T2137" s="14"/>
      <c r="U2137" s="9"/>
    </row>
    <row r="2138" spans="1:21" ht="11.85" customHeight="1" x14ac:dyDescent="0.2">
      <c r="L2138" s="9"/>
      <c r="N2138" s="9"/>
      <c r="P2138" s="9"/>
    </row>
    <row r="2139" spans="1:21" ht="11.85" customHeight="1" x14ac:dyDescent="0.2">
      <c r="A2139" s="3" t="s">
        <v>286</v>
      </c>
      <c r="L2139" s="9"/>
      <c r="N2139" s="9"/>
      <c r="P2139" s="9"/>
    </row>
    <row r="2140" spans="1:21" s="10" customFormat="1" ht="11.85" customHeight="1" x14ac:dyDescent="0.2">
      <c r="A2140" s="3" t="s">
        <v>1046</v>
      </c>
      <c r="C2140" s="2">
        <v>0</v>
      </c>
      <c r="D2140" s="33"/>
      <c r="E2140" s="2">
        <v>0</v>
      </c>
      <c r="F2140" s="33"/>
      <c r="G2140" s="2">
        <v>0</v>
      </c>
      <c r="H2140" s="33"/>
      <c r="I2140" s="2">
        <v>0</v>
      </c>
      <c r="J2140" s="33"/>
      <c r="K2140" s="2">
        <v>0</v>
      </c>
      <c r="L2140" s="34"/>
      <c r="M2140" s="2">
        <v>0</v>
      </c>
      <c r="N2140" s="34"/>
      <c r="O2140" s="2">
        <v>0</v>
      </c>
      <c r="P2140" s="34"/>
      <c r="Q2140" s="2">
        <f>M2140+O2140</f>
        <v>0</v>
      </c>
      <c r="S2140" s="33"/>
      <c r="T2140" s="11"/>
    </row>
    <row r="2141" spans="1:21" ht="11.85" hidden="1" customHeight="1" x14ac:dyDescent="0.2">
      <c r="A2141" s="3" t="s">
        <v>1047</v>
      </c>
      <c r="C2141" s="2">
        <v>0</v>
      </c>
      <c r="E2141" s="2">
        <v>0</v>
      </c>
      <c r="G2141" s="2">
        <v>0</v>
      </c>
      <c r="I2141" s="2">
        <v>0</v>
      </c>
      <c r="K2141" s="2">
        <v>0</v>
      </c>
      <c r="L2141" s="9"/>
      <c r="M2141" s="2">
        <v>0</v>
      </c>
      <c r="N2141" s="9"/>
      <c r="O2141" s="2">
        <v>0</v>
      </c>
      <c r="P2141" s="9"/>
      <c r="Q2141" s="2">
        <f>M2141+O2141</f>
        <v>0</v>
      </c>
      <c r="T2141" s="11"/>
    </row>
    <row r="2142" spans="1:21" ht="11.85" customHeight="1" x14ac:dyDescent="0.2">
      <c r="A2142" s="3" t="s">
        <v>1048</v>
      </c>
      <c r="C2142" s="2">
        <v>0</v>
      </c>
      <c r="E2142" s="2">
        <v>0</v>
      </c>
      <c r="G2142" s="2">
        <v>0</v>
      </c>
      <c r="I2142" s="2">
        <v>0</v>
      </c>
      <c r="K2142" s="2">
        <v>0</v>
      </c>
      <c r="L2142" s="9"/>
      <c r="M2142" s="2">
        <v>0</v>
      </c>
      <c r="N2142" s="9"/>
      <c r="O2142" s="2">
        <v>0</v>
      </c>
      <c r="P2142" s="9"/>
      <c r="Q2142" s="2">
        <f>M2142+O2142</f>
        <v>0</v>
      </c>
      <c r="T2142" s="11"/>
    </row>
    <row r="2143" spans="1:21" ht="11.85" customHeight="1" x14ac:dyDescent="0.2">
      <c r="A2143" s="3" t="s">
        <v>1049</v>
      </c>
      <c r="C2143" s="12">
        <v>0</v>
      </c>
      <c r="E2143" s="12">
        <v>0</v>
      </c>
      <c r="G2143" s="12">
        <v>0</v>
      </c>
      <c r="I2143" s="12">
        <v>0</v>
      </c>
      <c r="K2143" s="12">
        <v>0</v>
      </c>
      <c r="L2143" s="9"/>
      <c r="M2143" s="12">
        <v>0</v>
      </c>
      <c r="N2143" s="9"/>
      <c r="O2143" s="12">
        <v>0</v>
      </c>
      <c r="P2143" s="9"/>
      <c r="Q2143" s="12">
        <f>M2143+O2143</f>
        <v>0</v>
      </c>
      <c r="T2143" s="11"/>
    </row>
    <row r="2144" spans="1:21" ht="11.85" customHeight="1" x14ac:dyDescent="0.2">
      <c r="A2144" s="3" t="s">
        <v>304</v>
      </c>
      <c r="C2144" s="2">
        <f>SUM(C2140:C2143)</f>
        <v>0</v>
      </c>
      <c r="E2144" s="2">
        <f>SUM(E2140:E2143)</f>
        <v>0</v>
      </c>
      <c r="G2144" s="2">
        <f>SUM(G2140:G2143)</f>
        <v>0</v>
      </c>
      <c r="I2144" s="2">
        <f>SUM(I2140:I2143)</f>
        <v>0</v>
      </c>
      <c r="K2144" s="2">
        <f>SUM(K2140:K2143)</f>
        <v>0</v>
      </c>
      <c r="L2144" s="9"/>
      <c r="M2144" s="2">
        <f>SUM(M2140:M2143)</f>
        <v>0</v>
      </c>
      <c r="N2144" s="9"/>
      <c r="O2144" s="2">
        <f>SUM(O2140:O2143)</f>
        <v>0</v>
      </c>
      <c r="P2144" s="9"/>
      <c r="Q2144" s="2">
        <f>SUM(Q2140:Q2143)</f>
        <v>0</v>
      </c>
      <c r="T2144" s="14"/>
    </row>
    <row r="2145" spans="1:20" ht="11.85" customHeight="1" x14ac:dyDescent="0.2">
      <c r="L2145" s="9"/>
      <c r="N2145" s="9"/>
      <c r="P2145" s="9"/>
    </row>
    <row r="2146" spans="1:20" ht="11.85" customHeight="1" x14ac:dyDescent="0.2">
      <c r="A2146" s="10" t="s">
        <v>305</v>
      </c>
      <c r="L2146" s="9"/>
      <c r="N2146" s="9"/>
      <c r="P2146" s="9"/>
    </row>
    <row r="2147" spans="1:20" ht="11.85" customHeight="1" x14ac:dyDescent="0.2">
      <c r="A2147" s="3" t="s">
        <v>1050</v>
      </c>
      <c r="C2147" s="2">
        <v>0</v>
      </c>
      <c r="E2147" s="2">
        <v>0</v>
      </c>
      <c r="G2147" s="2">
        <v>0</v>
      </c>
      <c r="I2147" s="2">
        <v>0</v>
      </c>
      <c r="K2147" s="2">
        <v>0</v>
      </c>
      <c r="L2147" s="9"/>
      <c r="M2147" s="2">
        <v>0</v>
      </c>
      <c r="N2147" s="9"/>
      <c r="O2147" s="2">
        <v>0</v>
      </c>
      <c r="P2147" s="9"/>
      <c r="Q2147" s="2">
        <f>M2147+O2147</f>
        <v>0</v>
      </c>
      <c r="T2147" s="11"/>
    </row>
    <row r="2148" spans="1:20" ht="11.85" customHeight="1" x14ac:dyDescent="0.2">
      <c r="A2148" s="3" t="s">
        <v>1051</v>
      </c>
      <c r="C2148" s="2">
        <v>0</v>
      </c>
      <c r="E2148" s="2">
        <v>0</v>
      </c>
      <c r="G2148" s="2">
        <v>0</v>
      </c>
      <c r="I2148" s="2">
        <v>0</v>
      </c>
      <c r="K2148" s="2">
        <v>0</v>
      </c>
      <c r="L2148" s="9"/>
      <c r="M2148" s="2">
        <v>0</v>
      </c>
      <c r="N2148" s="9"/>
      <c r="O2148" s="2">
        <v>0</v>
      </c>
      <c r="P2148" s="9"/>
      <c r="Q2148" s="2">
        <f>M2148+O2148</f>
        <v>0</v>
      </c>
      <c r="T2148" s="11"/>
    </row>
    <row r="2149" spans="1:20" ht="11.85" customHeight="1" x14ac:dyDescent="0.2">
      <c r="A2149" s="3" t="s">
        <v>1052</v>
      </c>
      <c r="C2149" s="2">
        <v>0</v>
      </c>
      <c r="E2149" s="2">
        <v>0</v>
      </c>
      <c r="G2149" s="2">
        <v>0</v>
      </c>
      <c r="I2149" s="2">
        <v>0</v>
      </c>
      <c r="K2149" s="2">
        <v>0</v>
      </c>
      <c r="L2149" s="9"/>
      <c r="M2149" s="2">
        <v>0</v>
      </c>
      <c r="N2149" s="9"/>
      <c r="O2149" s="2">
        <v>0</v>
      </c>
      <c r="P2149" s="9"/>
      <c r="Q2149" s="2">
        <f>M2149+O2149</f>
        <v>0</v>
      </c>
      <c r="T2149" s="11"/>
    </row>
    <row r="2150" spans="1:20" ht="11.85" customHeight="1" x14ac:dyDescent="0.2">
      <c r="A2150" s="3" t="s">
        <v>1053</v>
      </c>
      <c r="C2150" s="2">
        <v>0</v>
      </c>
      <c r="E2150" s="2">
        <v>0</v>
      </c>
      <c r="G2150" s="2">
        <v>0</v>
      </c>
      <c r="I2150" s="2">
        <v>0</v>
      </c>
      <c r="K2150" s="2">
        <v>0</v>
      </c>
      <c r="L2150" s="9"/>
      <c r="M2150" s="2">
        <v>0</v>
      </c>
      <c r="N2150" s="9"/>
      <c r="O2150" s="2">
        <v>0</v>
      </c>
      <c r="P2150" s="9"/>
      <c r="Q2150" s="2">
        <f>M2150+O2150</f>
        <v>0</v>
      </c>
      <c r="T2150" s="11"/>
    </row>
    <row r="2151" spans="1:20" ht="11.85" customHeight="1" x14ac:dyDescent="0.2">
      <c r="A2151" s="3" t="s">
        <v>1054</v>
      </c>
      <c r="C2151" s="12">
        <v>0</v>
      </c>
      <c r="E2151" s="12">
        <v>0</v>
      </c>
      <c r="G2151" s="12">
        <v>0</v>
      </c>
      <c r="I2151" s="12">
        <v>0</v>
      </c>
      <c r="K2151" s="12">
        <v>0</v>
      </c>
      <c r="L2151" s="9"/>
      <c r="M2151" s="12">
        <v>0</v>
      </c>
      <c r="N2151" s="9"/>
      <c r="O2151" s="12">
        <v>0</v>
      </c>
      <c r="P2151" s="9"/>
      <c r="Q2151" s="12">
        <f>M2151+O2151</f>
        <v>0</v>
      </c>
      <c r="T2151" s="11"/>
    </row>
    <row r="2152" spans="1:20" ht="11.85" customHeight="1" x14ac:dyDescent="0.2">
      <c r="A2152" s="3" t="s">
        <v>328</v>
      </c>
      <c r="C2152" s="2">
        <f>SUM(C2147:C2151)</f>
        <v>0</v>
      </c>
      <c r="E2152" s="2">
        <f>SUM(E2147:E2151)</f>
        <v>0</v>
      </c>
      <c r="G2152" s="2">
        <f>SUM(G2147:G2151)</f>
        <v>0</v>
      </c>
      <c r="I2152" s="2">
        <f>SUM(I2147:I2151)</f>
        <v>0</v>
      </c>
      <c r="K2152" s="2">
        <f>SUM(K2147:K2151)</f>
        <v>0</v>
      </c>
      <c r="L2152" s="9"/>
      <c r="M2152" s="2">
        <f>SUM(M2147:M2151)</f>
        <v>0</v>
      </c>
      <c r="N2152" s="9"/>
      <c r="O2152" s="2">
        <f>SUM(O2147:O2151)</f>
        <v>0</v>
      </c>
      <c r="P2152" s="9"/>
      <c r="Q2152" s="2">
        <f>SUM(Q2147:Q2151)</f>
        <v>0</v>
      </c>
      <c r="T2152" s="14"/>
    </row>
    <row r="2153" spans="1:20" ht="11.85" customHeight="1" x14ac:dyDescent="0.2">
      <c r="L2153" s="9"/>
      <c r="N2153" s="9"/>
      <c r="P2153" s="9"/>
    </row>
    <row r="2154" spans="1:20" ht="11.85" customHeight="1" x14ac:dyDescent="0.2">
      <c r="A2154" s="3" t="s">
        <v>1055</v>
      </c>
      <c r="C2154" s="2">
        <f>C2137+C2144+C2152</f>
        <v>0</v>
      </c>
      <c r="E2154" s="2">
        <f>E2137+E2144+E2152</f>
        <v>0</v>
      </c>
      <c r="G2154" s="2">
        <f>G2137+G2144+G2152</f>
        <v>0</v>
      </c>
      <c r="I2154" s="2">
        <f>I2137+I2144+I2152</f>
        <v>0</v>
      </c>
      <c r="K2154" s="2">
        <f>K2137+K2144+K2152</f>
        <v>0</v>
      </c>
      <c r="L2154" s="9"/>
      <c r="M2154" s="2">
        <f>M2137+M2144+M2152</f>
        <v>0</v>
      </c>
      <c r="N2154" s="9"/>
      <c r="O2154" s="2">
        <f>O2137+O2144+O2152</f>
        <v>0</v>
      </c>
      <c r="P2154" s="9"/>
      <c r="Q2154" s="2">
        <f>Q2137+Q2144+Q2152</f>
        <v>0</v>
      </c>
      <c r="R2154" s="9"/>
      <c r="T2154" s="11"/>
    </row>
    <row r="2155" spans="1:20" ht="11.85" customHeight="1" x14ac:dyDescent="0.2"/>
    <row r="2156" spans="1:20" ht="11.85" customHeight="1" x14ac:dyDescent="0.2"/>
    <row r="2157" spans="1:20" ht="11.85" customHeight="1" x14ac:dyDescent="0.2"/>
    <row r="2158" spans="1:20" ht="11.85" customHeight="1" x14ac:dyDescent="0.2"/>
    <row r="2159" spans="1:20" ht="11.85" customHeight="1" x14ac:dyDescent="0.2"/>
    <row r="2160" spans="1:20" ht="11.85" customHeight="1" x14ac:dyDescent="0.2"/>
    <row r="2161" ht="11.85" customHeight="1" x14ac:dyDescent="0.2"/>
    <row r="2162" ht="11.85" customHeight="1" x14ac:dyDescent="0.2"/>
    <row r="2163" ht="11.85" customHeight="1" x14ac:dyDescent="0.2"/>
    <row r="2164" ht="11.85" customHeight="1" x14ac:dyDescent="0.2"/>
    <row r="2165" ht="11.85" customHeight="1" x14ac:dyDescent="0.2"/>
    <row r="2166" ht="11.85" customHeight="1" x14ac:dyDescent="0.2"/>
    <row r="2167" ht="11.85" customHeight="1" x14ac:dyDescent="0.2"/>
    <row r="2168" ht="11.85" customHeight="1" x14ac:dyDescent="0.2"/>
    <row r="2169" ht="11.85" customHeight="1" x14ac:dyDescent="0.2"/>
    <row r="2170" ht="11.85" customHeight="1" x14ac:dyDescent="0.2"/>
    <row r="2171" ht="11.85" customHeight="1" x14ac:dyDescent="0.2"/>
    <row r="2172" ht="11.85" customHeight="1" x14ac:dyDescent="0.2"/>
    <row r="2173" ht="11.85" customHeight="1" x14ac:dyDescent="0.2"/>
    <row r="2174" ht="11.85" customHeight="1" x14ac:dyDescent="0.2"/>
    <row r="2175" ht="11.85" customHeight="1" x14ac:dyDescent="0.2"/>
    <row r="2176" ht="11.85" customHeight="1" x14ac:dyDescent="0.2"/>
    <row r="2177" spans="1:20" ht="11.85" customHeight="1" x14ac:dyDescent="0.2"/>
    <row r="2178" spans="1:20" ht="11.85" customHeight="1" x14ac:dyDescent="0.2"/>
    <row r="2179" spans="1:20" ht="11.85" customHeight="1" x14ac:dyDescent="0.2"/>
    <row r="2180" spans="1:20" ht="11.85" customHeight="1" x14ac:dyDescent="0.2"/>
    <row r="2181" spans="1:20" ht="11.85" customHeight="1" x14ac:dyDescent="0.2"/>
    <row r="2182" spans="1:20" ht="11.85" customHeight="1" x14ac:dyDescent="0.2">
      <c r="A2182" s="1"/>
      <c r="B2182" s="1"/>
      <c r="E2182" s="2" t="str">
        <f>$E$1</f>
        <v>CITY OF BRADY</v>
      </c>
    </row>
    <row r="2183" spans="1:20" ht="11.85" customHeight="1" x14ac:dyDescent="0.2">
      <c r="E2183" s="2" t="str">
        <f>$E$2</f>
        <v>BUDGET REPORT</v>
      </c>
    </row>
    <row r="2184" spans="1:20" ht="11.85" customHeight="1" x14ac:dyDescent="0.2">
      <c r="E2184" s="2" t="str">
        <f>$E$3</f>
        <v>FISCAL YEAR 2024 - 2025</v>
      </c>
    </row>
    <row r="2185" spans="1:20" ht="11.85" customHeight="1" x14ac:dyDescent="0.2">
      <c r="A2185" s="3" t="s">
        <v>3</v>
      </c>
    </row>
    <row r="2186" spans="1:20" ht="11.85" customHeight="1" x14ac:dyDescent="0.2">
      <c r="A2186" s="3" t="s">
        <v>1056</v>
      </c>
    </row>
    <row r="2187" spans="1:20" ht="11.85" customHeight="1" x14ac:dyDescent="0.2">
      <c r="I2187" s="53" t="str">
        <f>$I$6</f>
        <v>(----- 2023-2024------)</v>
      </c>
      <c r="J2187" s="53"/>
      <c r="K2187" s="53"/>
      <c r="L2187" s="6"/>
      <c r="M2187" s="54" t="str">
        <f>$M$6</f>
        <v>2024-2025</v>
      </c>
      <c r="N2187" s="54"/>
      <c r="O2187" s="54"/>
      <c r="P2187" s="54"/>
      <c r="Q2187" s="54"/>
    </row>
    <row r="2188" spans="1:20" ht="11.85" customHeight="1" x14ac:dyDescent="0.2">
      <c r="C2188" s="5" t="str">
        <f>$C$7</f>
        <v>2020-2021</v>
      </c>
      <c r="D2188" s="5"/>
      <c r="E2188" s="5" t="str">
        <f>$E$7</f>
        <v>2021-2022</v>
      </c>
      <c r="F2188" s="5"/>
      <c r="G2188" s="5" t="str">
        <f>$G$7</f>
        <v>2022-2023</v>
      </c>
      <c r="H2188" s="5"/>
      <c r="I2188" s="5" t="s">
        <v>9</v>
      </c>
      <c r="J2188" s="5"/>
      <c r="K2188" s="5" t="str">
        <f>+$K$7</f>
        <v>PROJECTED</v>
      </c>
      <c r="L2188" s="6"/>
      <c r="M2188" s="5">
        <f>$M$7</f>
        <v>0</v>
      </c>
      <c r="N2188" s="6"/>
      <c r="O2188" s="5" t="str">
        <f>$O$7</f>
        <v>2024-2025</v>
      </c>
      <c r="P2188" s="6"/>
      <c r="Q2188" s="5" t="str">
        <f>$Q$7</f>
        <v>APPROVED</v>
      </c>
    </row>
    <row r="2189" spans="1:20" ht="11.85" customHeight="1" x14ac:dyDescent="0.2">
      <c r="A2189" s="7" t="s">
        <v>273</v>
      </c>
      <c r="C2189" s="8" t="s">
        <v>12</v>
      </c>
      <c r="D2189" s="5"/>
      <c r="E2189" s="8" t="s">
        <v>12</v>
      </c>
      <c r="F2189" s="5"/>
      <c r="G2189" s="8" t="s">
        <v>12</v>
      </c>
      <c r="H2189" s="5"/>
      <c r="I2189" s="8" t="s">
        <v>13</v>
      </c>
      <c r="J2189" s="5"/>
      <c r="K2189" s="8" t="s">
        <v>13</v>
      </c>
      <c r="L2189" s="6"/>
      <c r="M2189" s="8" t="str">
        <f>$M$8</f>
        <v>BASE</v>
      </c>
      <c r="N2189" s="6"/>
      <c r="O2189" s="8" t="str">
        <f>$O$8</f>
        <v>SUPPLEMENTAL</v>
      </c>
      <c r="P2189" s="6"/>
      <c r="Q2189" s="8" t="str">
        <f>$Q$8</f>
        <v>BUDGET</v>
      </c>
    </row>
    <row r="2190" spans="1:20" ht="11.85" customHeight="1" x14ac:dyDescent="0.2"/>
    <row r="2191" spans="1:20" ht="11.85" customHeight="1" x14ac:dyDescent="0.2">
      <c r="A2191" s="10" t="s">
        <v>274</v>
      </c>
    </row>
    <row r="2192" spans="1:20" ht="11.85" customHeight="1" x14ac:dyDescent="0.2">
      <c r="A2192" s="3" t="s">
        <v>1057</v>
      </c>
      <c r="C2192" s="2">
        <f>186084.99+46914.56</f>
        <v>232999.55</v>
      </c>
      <c r="E2192" s="2">
        <f>190917.3+46612.8</f>
        <v>237530.09999999998</v>
      </c>
      <c r="G2192" s="2">
        <f>188614.08+61204.97</f>
        <v>249819.05</v>
      </c>
      <c r="I2192" s="2">
        <f>196188+49442</f>
        <v>245630</v>
      </c>
      <c r="K2192" s="2">
        <f>196188+49442</f>
        <v>245630</v>
      </c>
      <c r="L2192" s="9"/>
      <c r="M2192" s="2">
        <v>250125</v>
      </c>
      <c r="N2192" s="9"/>
      <c r="O2192" s="2">
        <v>0</v>
      </c>
      <c r="P2192" s="9"/>
      <c r="Q2192" s="2">
        <f t="shared" ref="Q2192:Q2199" si="72">M2192+O2192</f>
        <v>250125</v>
      </c>
      <c r="T2192" s="11"/>
    </row>
    <row r="2193" spans="1:21" ht="11.85" customHeight="1" x14ac:dyDescent="0.2">
      <c r="A2193" s="3" t="s">
        <v>1058</v>
      </c>
      <c r="C2193" s="2">
        <v>25.58</v>
      </c>
      <c r="E2193" s="2">
        <v>0</v>
      </c>
      <c r="G2193" s="2">
        <v>0</v>
      </c>
      <c r="I2193" s="2">
        <f>200+200</f>
        <v>400</v>
      </c>
      <c r="K2193" s="2">
        <f>200+200</f>
        <v>400</v>
      </c>
      <c r="L2193" s="9"/>
      <c r="M2193" s="2">
        <v>400</v>
      </c>
      <c r="N2193" s="9"/>
      <c r="O2193" s="2">
        <v>0</v>
      </c>
      <c r="P2193" s="9"/>
      <c r="Q2193" s="2">
        <f t="shared" si="72"/>
        <v>400</v>
      </c>
      <c r="T2193" s="11"/>
    </row>
    <row r="2194" spans="1:21" ht="11.85" customHeight="1" x14ac:dyDescent="0.2">
      <c r="A2194" s="3" t="s">
        <v>1059</v>
      </c>
      <c r="C2194" s="2">
        <f>180+240</f>
        <v>420</v>
      </c>
      <c r="E2194" s="2">
        <f>180+240</f>
        <v>420</v>
      </c>
      <c r="G2194" s="2">
        <f>180+240</f>
        <v>420</v>
      </c>
      <c r="I2194" s="2">
        <f>180+240</f>
        <v>420</v>
      </c>
      <c r="K2194" s="2">
        <f>180+240</f>
        <v>420</v>
      </c>
      <c r="L2194" s="9"/>
      <c r="M2194" s="2">
        <v>420</v>
      </c>
      <c r="N2194" s="9"/>
      <c r="O2194" s="2">
        <v>0</v>
      </c>
      <c r="P2194" s="9"/>
      <c r="Q2194" s="2">
        <f t="shared" si="72"/>
        <v>420</v>
      </c>
      <c r="T2194" s="11"/>
    </row>
    <row r="2195" spans="1:21" ht="11.85" customHeight="1" x14ac:dyDescent="0.2">
      <c r="A2195" s="3" t="s">
        <v>1060</v>
      </c>
      <c r="C2195" s="2">
        <f>35525.52+11817.46</f>
        <v>47342.979999999996</v>
      </c>
      <c r="E2195" s="2">
        <f>28402.03+10794.48</f>
        <v>39196.509999999995</v>
      </c>
      <c r="G2195" s="2">
        <f>32825.07+11850.03</f>
        <v>44675.1</v>
      </c>
      <c r="I2195" s="2">
        <f>34380+11460</f>
        <v>45840</v>
      </c>
      <c r="K2195" s="2">
        <f>34380-5200+9253</f>
        <v>38433</v>
      </c>
      <c r="L2195" s="9"/>
      <c r="M2195" s="2">
        <v>40566</v>
      </c>
      <c r="N2195" s="9"/>
      <c r="O2195" s="2">
        <v>0</v>
      </c>
      <c r="P2195" s="9"/>
      <c r="Q2195" s="2">
        <f t="shared" si="72"/>
        <v>40566</v>
      </c>
      <c r="T2195" s="11"/>
    </row>
    <row r="2196" spans="1:21" ht="11.85" customHeight="1" x14ac:dyDescent="0.2">
      <c r="A2196" s="3" t="s">
        <v>1061</v>
      </c>
      <c r="C2196" s="2">
        <f>18534.71+4691.54</f>
        <v>23226.25</v>
      </c>
      <c r="E2196" s="2">
        <f>18369.42+4505.07</f>
        <v>22874.489999999998</v>
      </c>
      <c r="G2196" s="2">
        <f>18341+5976.42</f>
        <v>24317.42</v>
      </c>
      <c r="I2196" s="2">
        <f>19555+4943</f>
        <v>24498</v>
      </c>
      <c r="K2196" s="2">
        <f>19555+4943</f>
        <v>24498</v>
      </c>
      <c r="L2196" s="9"/>
      <c r="M2196" s="2">
        <v>24332</v>
      </c>
      <c r="N2196" s="9"/>
      <c r="O2196" s="2">
        <v>0</v>
      </c>
      <c r="P2196" s="9"/>
      <c r="Q2196" s="2">
        <f>M2196+O2196</f>
        <v>24332</v>
      </c>
      <c r="T2196" s="11"/>
    </row>
    <row r="2197" spans="1:21" ht="11.85" customHeight="1" x14ac:dyDescent="0.2">
      <c r="A2197" s="3" t="s">
        <v>1062</v>
      </c>
      <c r="C2197" s="2">
        <f>441.71+111.89</f>
        <v>553.6</v>
      </c>
      <c r="E2197" s="2">
        <f>494.02+121.29</f>
        <v>615.30999999999995</v>
      </c>
      <c r="G2197" s="2">
        <f>512.17+166.58</f>
        <v>678.75</v>
      </c>
      <c r="I2197" s="2">
        <f>590+208</f>
        <v>798</v>
      </c>
      <c r="K2197" s="2">
        <f>590+208</f>
        <v>798</v>
      </c>
      <c r="L2197" s="9"/>
      <c r="M2197" s="2">
        <v>474</v>
      </c>
      <c r="N2197" s="9"/>
      <c r="O2197" s="2">
        <v>0</v>
      </c>
      <c r="P2197" s="9"/>
      <c r="Q2197" s="2">
        <f t="shared" si="72"/>
        <v>474</v>
      </c>
      <c r="T2197" s="11"/>
    </row>
    <row r="2198" spans="1:21" ht="11.85" customHeight="1" x14ac:dyDescent="0.2">
      <c r="A2198" s="3" t="s">
        <v>1063</v>
      </c>
      <c r="C2198" s="2">
        <f>756+252</f>
        <v>1008</v>
      </c>
      <c r="E2198" s="2">
        <f>44.18+9</f>
        <v>53.18</v>
      </c>
      <c r="G2198" s="2">
        <f>27+18</f>
        <v>45</v>
      </c>
      <c r="I2198" s="2">
        <f>251+84</f>
        <v>335</v>
      </c>
      <c r="K2198" s="2">
        <f>251+84</f>
        <v>335</v>
      </c>
      <c r="L2198" s="9"/>
      <c r="M2198" s="2">
        <v>360</v>
      </c>
      <c r="N2198" s="9"/>
      <c r="O2198" s="2">
        <v>0</v>
      </c>
      <c r="P2198" s="9"/>
      <c r="Q2198" s="2">
        <f t="shared" si="72"/>
        <v>360</v>
      </c>
      <c r="T2198" s="11"/>
    </row>
    <row r="2199" spans="1:21" ht="11.85" customHeight="1" x14ac:dyDescent="0.2">
      <c r="A2199" s="3" t="s">
        <v>1064</v>
      </c>
      <c r="C2199" s="12">
        <f>13158.99+3474.12</f>
        <v>16633.11</v>
      </c>
      <c r="E2199" s="12">
        <f>15097.14+3717.43</f>
        <v>18814.57</v>
      </c>
      <c r="G2199" s="12">
        <f>14358.29+4700.57</f>
        <v>19058.86</v>
      </c>
      <c r="I2199" s="12">
        <f>15318+3872</f>
        <v>19190</v>
      </c>
      <c r="K2199" s="12">
        <f>15318+3872</f>
        <v>19190</v>
      </c>
      <c r="L2199" s="9"/>
      <c r="M2199" s="12">
        <v>19541</v>
      </c>
      <c r="N2199" s="9"/>
      <c r="O2199" s="12">
        <v>0</v>
      </c>
      <c r="P2199" s="9"/>
      <c r="Q2199" s="12">
        <f t="shared" si="72"/>
        <v>19541</v>
      </c>
      <c r="T2199" s="11"/>
    </row>
    <row r="2200" spans="1:21" ht="11.85" customHeight="1" x14ac:dyDescent="0.2">
      <c r="A2200" s="3" t="s">
        <v>285</v>
      </c>
      <c r="C2200" s="2">
        <f>SUM(C2192:C2199)</f>
        <v>322209.06999999995</v>
      </c>
      <c r="E2200" s="2">
        <f>SUM(E2192:E2199)</f>
        <v>319504.15999999997</v>
      </c>
      <c r="G2200" s="2">
        <f>SUM(G2192:G2199)</f>
        <v>339014.17999999993</v>
      </c>
      <c r="I2200" s="2">
        <f>SUM(I2192:I2199)</f>
        <v>337111</v>
      </c>
      <c r="K2200" s="2">
        <f>SUM(K2192:K2199)</f>
        <v>329704</v>
      </c>
      <c r="L2200" s="9"/>
      <c r="M2200" s="2">
        <f>SUM(M2192:M2199)</f>
        <v>336218</v>
      </c>
      <c r="N2200" s="9"/>
      <c r="O2200" s="2">
        <f>SUM(O2192:O2199)</f>
        <v>0</v>
      </c>
      <c r="P2200" s="9"/>
      <c r="Q2200" s="2">
        <f>SUM(Q2192:Q2199)</f>
        <v>336218</v>
      </c>
      <c r="R2200" s="9"/>
      <c r="U2200" s="9"/>
    </row>
    <row r="2201" spans="1:21" ht="11.85" customHeight="1" x14ac:dyDescent="0.2">
      <c r="L2201" s="9"/>
      <c r="N2201" s="9"/>
      <c r="P2201" s="9"/>
    </row>
    <row r="2202" spans="1:21" ht="11.85" customHeight="1" x14ac:dyDescent="0.2">
      <c r="A2202" s="10" t="s">
        <v>286</v>
      </c>
      <c r="L2202" s="9"/>
      <c r="N2202" s="9"/>
      <c r="P2202" s="9"/>
    </row>
    <row r="2203" spans="1:21" ht="11.85" customHeight="1" x14ac:dyDescent="0.2">
      <c r="A2203" s="3" t="s">
        <v>1065</v>
      </c>
      <c r="C2203" s="2">
        <f>265+290</f>
        <v>555</v>
      </c>
      <c r="E2203" s="2">
        <f>360+290</f>
        <v>650</v>
      </c>
      <c r="G2203" s="2">
        <f>285+390</f>
        <v>675</v>
      </c>
      <c r="I2203" s="2">
        <f>500+300</f>
        <v>800</v>
      </c>
      <c r="K2203" s="2">
        <f>500+300</f>
        <v>800</v>
      </c>
      <c r="L2203" s="9"/>
      <c r="M2203" s="2">
        <f>500+300</f>
        <v>800</v>
      </c>
      <c r="N2203" s="9"/>
      <c r="O2203" s="2">
        <v>0</v>
      </c>
      <c r="P2203" s="9"/>
      <c r="Q2203" s="2">
        <f t="shared" ref="Q2203:Q2209" si="73">M2203+O2203</f>
        <v>800</v>
      </c>
      <c r="T2203" s="11"/>
    </row>
    <row r="2204" spans="1:21" ht="11.85" customHeight="1" x14ac:dyDescent="0.2">
      <c r="A2204" s="3" t="s">
        <v>1066</v>
      </c>
      <c r="C2204" s="2">
        <v>0</v>
      </c>
      <c r="E2204" s="2">
        <v>0</v>
      </c>
      <c r="G2204" s="2">
        <v>2031.25</v>
      </c>
      <c r="I2204" s="2">
        <v>1500</v>
      </c>
      <c r="K2204" s="2">
        <v>1500</v>
      </c>
      <c r="L2204" s="9"/>
      <c r="M2204" s="2">
        <v>2000</v>
      </c>
      <c r="N2204" s="9"/>
      <c r="O2204" s="2">
        <v>0</v>
      </c>
      <c r="P2204" s="9"/>
      <c r="Q2204" s="2">
        <f t="shared" si="73"/>
        <v>2000</v>
      </c>
      <c r="T2204" s="11"/>
    </row>
    <row r="2205" spans="1:21" ht="11.85" hidden="1" customHeight="1" x14ac:dyDescent="0.2">
      <c r="A2205" s="3" t="s">
        <v>1067</v>
      </c>
      <c r="C2205" s="2">
        <v>0</v>
      </c>
      <c r="E2205" s="2">
        <v>0</v>
      </c>
      <c r="G2205" s="2">
        <v>0</v>
      </c>
      <c r="I2205" s="2">
        <v>0</v>
      </c>
      <c r="K2205" s="2">
        <v>0</v>
      </c>
      <c r="L2205" s="9"/>
      <c r="M2205" s="2">
        <v>0</v>
      </c>
      <c r="N2205" s="9"/>
      <c r="O2205" s="2">
        <v>0</v>
      </c>
      <c r="P2205" s="9"/>
      <c r="Q2205" s="2">
        <f t="shared" si="73"/>
        <v>0</v>
      </c>
      <c r="T2205" s="11"/>
    </row>
    <row r="2206" spans="1:21" ht="11.85" customHeight="1" x14ac:dyDescent="0.2">
      <c r="A2206" s="3" t="s">
        <v>1068</v>
      </c>
      <c r="C2206" s="2">
        <v>0</v>
      </c>
      <c r="E2206" s="2">
        <v>0</v>
      </c>
      <c r="G2206" s="2">
        <v>0</v>
      </c>
      <c r="I2206" s="2">
        <v>0</v>
      </c>
      <c r="K2206" s="2">
        <v>0</v>
      </c>
      <c r="L2206" s="9"/>
      <c r="M2206" s="2">
        <v>0</v>
      </c>
      <c r="N2206" s="9"/>
      <c r="O2206" s="2">
        <v>0</v>
      </c>
      <c r="P2206" s="9"/>
      <c r="Q2206" s="2">
        <f t="shared" si="73"/>
        <v>0</v>
      </c>
      <c r="T2206" s="11"/>
    </row>
    <row r="2207" spans="1:21" ht="11.85" customHeight="1" x14ac:dyDescent="0.2">
      <c r="A2207" s="3" t="s">
        <v>1069</v>
      </c>
      <c r="C2207" s="2">
        <f>1085.4+90.6</f>
        <v>1176</v>
      </c>
      <c r="E2207" s="2">
        <f>922.75+102.6</f>
        <v>1025.3499999999999</v>
      </c>
      <c r="G2207" s="2">
        <f>1121+284</f>
        <v>1405</v>
      </c>
      <c r="I2207" s="2">
        <f>1200+400</f>
        <v>1600</v>
      </c>
      <c r="K2207" s="2">
        <f>1200+400</f>
        <v>1600</v>
      </c>
      <c r="L2207" s="9"/>
      <c r="M2207" s="2">
        <f>1200+400</f>
        <v>1600</v>
      </c>
      <c r="N2207" s="9"/>
      <c r="O2207" s="2">
        <v>0</v>
      </c>
      <c r="P2207" s="9"/>
      <c r="Q2207" s="2">
        <f>M2207+O2207</f>
        <v>1600</v>
      </c>
      <c r="T2207" s="11"/>
    </row>
    <row r="2208" spans="1:21" ht="11.85" customHeight="1" x14ac:dyDescent="0.2">
      <c r="A2208" s="3" t="s">
        <v>1070</v>
      </c>
      <c r="C2208" s="2">
        <v>14.88</v>
      </c>
      <c r="E2208" s="2">
        <f>99+1154.97</f>
        <v>1253.97</v>
      </c>
      <c r="G2208" s="2">
        <v>2131.66</v>
      </c>
      <c r="I2208" s="2">
        <v>0</v>
      </c>
      <c r="K2208" s="2">
        <v>2200</v>
      </c>
      <c r="L2208" s="9"/>
      <c r="M2208" s="2">
        <v>2200</v>
      </c>
      <c r="N2208" s="9"/>
      <c r="O2208" s="2">
        <v>0</v>
      </c>
      <c r="P2208" s="9"/>
      <c r="Q2208" s="2">
        <f t="shared" si="73"/>
        <v>2200</v>
      </c>
      <c r="T2208" s="11"/>
    </row>
    <row r="2209" spans="1:21" ht="11.85" customHeight="1" x14ac:dyDescent="0.2">
      <c r="A2209" s="3" t="s">
        <v>1071</v>
      </c>
      <c r="C2209" s="12">
        <v>58000</v>
      </c>
      <c r="E2209" s="12">
        <v>59674.81</v>
      </c>
      <c r="G2209" s="12">
        <v>62400</v>
      </c>
      <c r="I2209" s="12">
        <v>66000</v>
      </c>
      <c r="K2209" s="12">
        <f>66000+3000</f>
        <v>69000</v>
      </c>
      <c r="L2209" s="9"/>
      <c r="M2209" s="12">
        <v>75000</v>
      </c>
      <c r="N2209" s="9"/>
      <c r="O2209" s="12">
        <v>0</v>
      </c>
      <c r="P2209" s="9"/>
      <c r="Q2209" s="12">
        <f t="shared" si="73"/>
        <v>75000</v>
      </c>
      <c r="T2209" s="11"/>
      <c r="U2209" s="9"/>
    </row>
    <row r="2210" spans="1:21" ht="11.85" customHeight="1" x14ac:dyDescent="0.2">
      <c r="A2210" s="3" t="s">
        <v>304</v>
      </c>
      <c r="C2210" s="2">
        <f>SUM(C2203:C2209)</f>
        <v>59745.88</v>
      </c>
      <c r="E2210" s="2">
        <f>SUM(E2203:E2209)</f>
        <v>62604.13</v>
      </c>
      <c r="G2210" s="2">
        <f>SUM(G2203:G2209)</f>
        <v>68642.91</v>
      </c>
      <c r="I2210" s="2">
        <f>SUM(I2203:I2209)</f>
        <v>69900</v>
      </c>
      <c r="K2210" s="2">
        <f>SUM(K2203:K2209)</f>
        <v>75100</v>
      </c>
      <c r="L2210" s="9"/>
      <c r="M2210" s="2">
        <f>SUM(M2203:M2209)</f>
        <v>81600</v>
      </c>
      <c r="N2210" s="9"/>
      <c r="O2210" s="2">
        <f>SUM(O2203:O2209)</f>
        <v>0</v>
      </c>
      <c r="P2210" s="9"/>
      <c r="Q2210" s="2">
        <f>SUM(Q2203:Q2209)</f>
        <v>81600</v>
      </c>
      <c r="T2210" s="14"/>
      <c r="U2210" s="9"/>
    </row>
    <row r="2211" spans="1:21" ht="11.85" customHeight="1" x14ac:dyDescent="0.2">
      <c r="L2211" s="9"/>
      <c r="N2211" s="9"/>
      <c r="P2211" s="9"/>
    </row>
    <row r="2212" spans="1:21" ht="11.85" customHeight="1" x14ac:dyDescent="0.2">
      <c r="A2212" s="10" t="s">
        <v>305</v>
      </c>
      <c r="L2212" s="9"/>
      <c r="N2212" s="9"/>
      <c r="P2212" s="9"/>
    </row>
    <row r="2213" spans="1:21" ht="11.85" customHeight="1" x14ac:dyDescent="0.2">
      <c r="A2213" s="3" t="s">
        <v>1072</v>
      </c>
      <c r="C2213" s="2">
        <v>0</v>
      </c>
      <c r="E2213" s="2">
        <v>636.22</v>
      </c>
      <c r="G2213" s="2">
        <f>164.45+468.67</f>
        <v>633.12</v>
      </c>
      <c r="I2213" s="2">
        <v>200</v>
      </c>
      <c r="K2213" s="2">
        <v>200</v>
      </c>
      <c r="L2213" s="9"/>
      <c r="M2213" s="2">
        <v>200</v>
      </c>
      <c r="N2213" s="9"/>
      <c r="O2213" s="2">
        <v>0</v>
      </c>
      <c r="P2213" s="9"/>
      <c r="Q2213" s="2">
        <f t="shared" ref="Q2213:Q2222" si="74">M2213+O2213</f>
        <v>200</v>
      </c>
      <c r="T2213" s="11"/>
    </row>
    <row r="2214" spans="1:21" ht="11.85" customHeight="1" x14ac:dyDescent="0.2">
      <c r="A2214" s="3" t="s">
        <v>1073</v>
      </c>
      <c r="C2214" s="2">
        <v>439.42</v>
      </c>
      <c r="E2214" s="2">
        <v>2018.75</v>
      </c>
      <c r="G2214" s="2">
        <f>671.25+1515.55</f>
        <v>2186.8000000000002</v>
      </c>
      <c r="I2214" s="2">
        <f>3000+500</f>
        <v>3500</v>
      </c>
      <c r="K2214" s="2">
        <f>3000+500</f>
        <v>3500</v>
      </c>
      <c r="L2214" s="9"/>
      <c r="M2214" s="2">
        <f>3000+500</f>
        <v>3500</v>
      </c>
      <c r="N2214" s="9"/>
      <c r="O2214" s="2">
        <v>0</v>
      </c>
      <c r="P2214" s="9"/>
      <c r="Q2214" s="2">
        <f t="shared" si="74"/>
        <v>3500</v>
      </c>
      <c r="T2214" s="11"/>
    </row>
    <row r="2215" spans="1:21" ht="11.85" customHeight="1" x14ac:dyDescent="0.2">
      <c r="A2215" s="3" t="s">
        <v>1074</v>
      </c>
      <c r="C2215" s="2">
        <f>5144.48+448.92</f>
        <v>5593.4</v>
      </c>
      <c r="E2215" s="2">
        <f>5929.06+83.95</f>
        <v>6013.01</v>
      </c>
      <c r="G2215" s="2">
        <f>6571.51+707.34</f>
        <v>7278.85</v>
      </c>
      <c r="I2215" s="2">
        <f>7500+1000</f>
        <v>8500</v>
      </c>
      <c r="K2215" s="2">
        <f>7500+1000</f>
        <v>8500</v>
      </c>
      <c r="L2215" s="9"/>
      <c r="M2215" s="2">
        <f>7500+1000</f>
        <v>8500</v>
      </c>
      <c r="N2215" s="9"/>
      <c r="O2215" s="2">
        <v>0</v>
      </c>
      <c r="P2215" s="9"/>
      <c r="Q2215" s="2">
        <f t="shared" si="74"/>
        <v>8500</v>
      </c>
      <c r="T2215" s="11"/>
    </row>
    <row r="2216" spans="1:21" ht="11.85" customHeight="1" x14ac:dyDescent="0.2">
      <c r="A2216" s="3" t="s">
        <v>1075</v>
      </c>
      <c r="C2216" s="2">
        <v>445.03</v>
      </c>
      <c r="E2216" s="2">
        <f>708.25+215.18</f>
        <v>923.43000000000006</v>
      </c>
      <c r="G2216" s="2">
        <v>0</v>
      </c>
      <c r="I2216" s="2">
        <f>500+500</f>
        <v>1000</v>
      </c>
      <c r="K2216" s="2">
        <f>500+500</f>
        <v>1000</v>
      </c>
      <c r="L2216" s="9"/>
      <c r="M2216" s="2">
        <f>500+500</f>
        <v>1000</v>
      </c>
      <c r="N2216" s="9"/>
      <c r="O2216" s="2">
        <v>0</v>
      </c>
      <c r="P2216" s="9"/>
      <c r="Q2216" s="2">
        <f t="shared" si="74"/>
        <v>1000</v>
      </c>
      <c r="T2216" s="11"/>
    </row>
    <row r="2217" spans="1:21" ht="11.85" customHeight="1" x14ac:dyDescent="0.2">
      <c r="A2217" s="3" t="s">
        <v>1076</v>
      </c>
      <c r="C2217" s="2">
        <v>0</v>
      </c>
      <c r="E2217" s="2">
        <v>0</v>
      </c>
      <c r="G2217" s="2">
        <v>0</v>
      </c>
      <c r="I2217" s="2">
        <v>0</v>
      </c>
      <c r="K2217" s="2">
        <v>0</v>
      </c>
      <c r="L2217" s="9"/>
      <c r="M2217" s="2">
        <v>0</v>
      </c>
      <c r="N2217" s="9"/>
      <c r="O2217" s="2">
        <v>0</v>
      </c>
      <c r="P2217" s="9"/>
      <c r="Q2217" s="2">
        <f t="shared" si="74"/>
        <v>0</v>
      </c>
      <c r="T2217" s="11"/>
    </row>
    <row r="2218" spans="1:21" ht="11.85" customHeight="1" x14ac:dyDescent="0.2">
      <c r="A2218" s="3" t="s">
        <v>1077</v>
      </c>
      <c r="C2218" s="2">
        <v>357</v>
      </c>
      <c r="E2218" s="2">
        <v>331.5</v>
      </c>
      <c r="G2218" s="2">
        <v>68</v>
      </c>
      <c r="I2218" s="2">
        <v>400</v>
      </c>
      <c r="K2218" s="2">
        <v>400</v>
      </c>
      <c r="L2218" s="9"/>
      <c r="M2218" s="2">
        <v>0</v>
      </c>
      <c r="N2218" s="9"/>
      <c r="O2218" s="2">
        <v>0</v>
      </c>
      <c r="P2218" s="9"/>
      <c r="Q2218" s="2">
        <f t="shared" si="74"/>
        <v>0</v>
      </c>
      <c r="T2218" s="11"/>
    </row>
    <row r="2219" spans="1:21" ht="11.85" customHeight="1" x14ac:dyDescent="0.2">
      <c r="A2219" s="3" t="s">
        <v>1078</v>
      </c>
      <c r="C2219" s="12">
        <v>0</v>
      </c>
      <c r="E2219" s="12">
        <v>0</v>
      </c>
      <c r="G2219" s="12">
        <v>0</v>
      </c>
      <c r="I2219" s="12">
        <f>200+80</f>
        <v>280</v>
      </c>
      <c r="K2219" s="12">
        <f>200+80</f>
        <v>280</v>
      </c>
      <c r="L2219" s="9"/>
      <c r="M2219" s="12">
        <f>100+80</f>
        <v>180</v>
      </c>
      <c r="N2219" s="9"/>
      <c r="O2219" s="12">
        <v>0</v>
      </c>
      <c r="P2219" s="9"/>
      <c r="Q2219" s="12">
        <f t="shared" si="74"/>
        <v>180</v>
      </c>
      <c r="T2219" s="11"/>
    </row>
    <row r="2220" spans="1:21" ht="11.85" hidden="1" customHeight="1" x14ac:dyDescent="0.2">
      <c r="A2220" s="3" t="s">
        <v>1079</v>
      </c>
      <c r="C2220" s="2">
        <v>0</v>
      </c>
      <c r="E2220" s="2">
        <v>0</v>
      </c>
      <c r="G2220" s="2">
        <v>0</v>
      </c>
      <c r="I2220" s="2">
        <v>0</v>
      </c>
      <c r="K2220" s="2">
        <v>0</v>
      </c>
      <c r="L2220" s="9"/>
      <c r="M2220" s="2">
        <v>0</v>
      </c>
      <c r="N2220" s="9"/>
      <c r="O2220" s="2">
        <v>0</v>
      </c>
      <c r="P2220" s="9"/>
      <c r="Q2220" s="2">
        <f t="shared" si="74"/>
        <v>0</v>
      </c>
      <c r="T2220" s="11"/>
    </row>
    <row r="2221" spans="1:21" ht="11.85" hidden="1" customHeight="1" x14ac:dyDescent="0.2">
      <c r="A2221" s="3" t="s">
        <v>1080</v>
      </c>
      <c r="C2221" s="12">
        <v>0</v>
      </c>
      <c r="E2221" s="12">
        <v>0</v>
      </c>
      <c r="G2221" s="12">
        <v>0</v>
      </c>
      <c r="I2221" s="12">
        <v>0</v>
      </c>
      <c r="K2221" s="12">
        <v>0</v>
      </c>
      <c r="L2221" s="9"/>
      <c r="M2221" s="12">
        <v>0</v>
      </c>
      <c r="N2221" s="9"/>
      <c r="O2221" s="12">
        <v>0</v>
      </c>
      <c r="P2221" s="9"/>
      <c r="Q2221" s="12">
        <f t="shared" si="74"/>
        <v>0</v>
      </c>
      <c r="T2221" s="11"/>
    </row>
    <row r="2222" spans="1:21" ht="11.85" hidden="1" customHeight="1" x14ac:dyDescent="0.2">
      <c r="A2222" s="3" t="s">
        <v>1081</v>
      </c>
      <c r="C2222" s="12">
        <v>0</v>
      </c>
      <c r="E2222" s="12">
        <v>0</v>
      </c>
      <c r="G2222" s="12">
        <v>0</v>
      </c>
      <c r="I2222" s="12">
        <v>0</v>
      </c>
      <c r="K2222" s="12">
        <v>0</v>
      </c>
      <c r="L2222" s="9"/>
      <c r="M2222" s="12">
        <v>0</v>
      </c>
      <c r="N2222" s="9"/>
      <c r="O2222" s="12">
        <v>0</v>
      </c>
      <c r="P2222" s="9"/>
      <c r="Q2222" s="12">
        <f t="shared" si="74"/>
        <v>0</v>
      </c>
      <c r="T2222" s="11"/>
    </row>
    <row r="2223" spans="1:21" ht="11.85" customHeight="1" x14ac:dyDescent="0.2">
      <c r="A2223" s="3" t="s">
        <v>328</v>
      </c>
      <c r="C2223" s="2">
        <f>SUM(C2213:C2222)</f>
        <v>6834.8499999999995</v>
      </c>
      <c r="E2223" s="2">
        <f>SUM(E2213:E2222)</f>
        <v>9922.91</v>
      </c>
      <c r="G2223" s="2">
        <f>SUM(G2213:G2222)</f>
        <v>10166.77</v>
      </c>
      <c r="I2223" s="2">
        <f>SUM(I2213:I2222)</f>
        <v>13880</v>
      </c>
      <c r="K2223" s="2">
        <f>SUM(K2213:K2222)</f>
        <v>13880</v>
      </c>
      <c r="L2223" s="9"/>
      <c r="M2223" s="2">
        <f>SUM(M2213:M2222)</f>
        <v>13380</v>
      </c>
      <c r="N2223" s="9"/>
      <c r="O2223" s="2">
        <f>SUM(O2213:O2222)</f>
        <v>0</v>
      </c>
      <c r="P2223" s="9"/>
      <c r="Q2223" s="2">
        <f>SUM(Q2213:Q2222)</f>
        <v>13380</v>
      </c>
      <c r="R2223" s="9"/>
      <c r="T2223" s="14"/>
    </row>
    <row r="2224" spans="1:21" ht="11.85" customHeight="1" x14ac:dyDescent="0.2">
      <c r="L2224" s="9"/>
      <c r="N2224" s="9"/>
      <c r="P2224" s="9"/>
      <c r="R2224" s="9"/>
      <c r="T2224" s="14"/>
    </row>
    <row r="2225" spans="1:21" ht="11.85" customHeight="1" x14ac:dyDescent="0.2">
      <c r="L2225" s="9"/>
      <c r="N2225" s="9"/>
      <c r="P2225" s="9"/>
      <c r="R2225" s="9"/>
      <c r="T2225" s="14"/>
    </row>
    <row r="2226" spans="1:21" ht="11.85" customHeight="1" x14ac:dyDescent="0.2">
      <c r="A2226" s="3" t="s">
        <v>1082</v>
      </c>
      <c r="C2226" s="2">
        <v>0</v>
      </c>
      <c r="E2226" s="2">
        <v>0</v>
      </c>
      <c r="G2226" s="2">
        <v>0</v>
      </c>
      <c r="I2226" s="2">
        <v>23000</v>
      </c>
      <c r="K2226" s="2">
        <v>23000</v>
      </c>
      <c r="L2226" s="9"/>
      <c r="M2226" s="2">
        <v>0</v>
      </c>
      <c r="N2226" s="9"/>
      <c r="O2226" s="2">
        <v>0</v>
      </c>
      <c r="P2226" s="9"/>
      <c r="Q2226" s="2">
        <f>M2226+O2226</f>
        <v>0</v>
      </c>
    </row>
    <row r="2227" spans="1:21" ht="11.85" customHeight="1" x14ac:dyDescent="0.2">
      <c r="A2227" s="3" t="s">
        <v>1083</v>
      </c>
      <c r="C2227" s="12">
        <v>0</v>
      </c>
      <c r="E2227" s="12">
        <v>0</v>
      </c>
      <c r="G2227" s="12">
        <v>0</v>
      </c>
      <c r="I2227" s="12">
        <v>0</v>
      </c>
      <c r="K2227" s="12">
        <v>0</v>
      </c>
      <c r="L2227" s="9"/>
      <c r="M2227" s="12">
        <v>0</v>
      </c>
      <c r="N2227" s="9"/>
      <c r="O2227" s="12">
        <v>0</v>
      </c>
      <c r="P2227" s="9"/>
      <c r="Q2227" s="12">
        <f>M2227+O2227</f>
        <v>0</v>
      </c>
    </row>
    <row r="2228" spans="1:21" ht="11.85" customHeight="1" x14ac:dyDescent="0.2">
      <c r="A2228" s="3" t="s">
        <v>331</v>
      </c>
      <c r="C2228" s="2">
        <f>SUM(C2226:C2227)</f>
        <v>0</v>
      </c>
      <c r="E2228" s="2">
        <f>SUM(E2226:E2227)</f>
        <v>0</v>
      </c>
      <c r="G2228" s="2">
        <f>SUM(G2226:G2227)</f>
        <v>0</v>
      </c>
      <c r="I2228" s="2">
        <f>SUM(I2226:I2227)</f>
        <v>23000</v>
      </c>
      <c r="K2228" s="2">
        <f>SUM(K2226:K2227)</f>
        <v>23000</v>
      </c>
      <c r="L2228" s="9"/>
      <c r="M2228" s="2">
        <f>SUM(M2226:M2227)</f>
        <v>0</v>
      </c>
      <c r="N2228" s="9"/>
      <c r="O2228" s="2">
        <f>SUM(O2226:O2227)</f>
        <v>0</v>
      </c>
      <c r="P2228" s="9"/>
      <c r="Q2228" s="2">
        <f>SUM(Q2226:Q2227)</f>
        <v>0</v>
      </c>
    </row>
    <row r="2229" spans="1:21" ht="11.85" customHeight="1" x14ac:dyDescent="0.2">
      <c r="L2229" s="9"/>
      <c r="N2229" s="9"/>
      <c r="P2229" s="9"/>
      <c r="R2229" s="9"/>
      <c r="T2229" s="14"/>
    </row>
    <row r="2230" spans="1:21" ht="11.85" customHeight="1" x14ac:dyDescent="0.2">
      <c r="L2230" s="9"/>
      <c r="N2230" s="9"/>
      <c r="P2230" s="9"/>
    </row>
    <row r="2231" spans="1:21" ht="11.85" customHeight="1" x14ac:dyDescent="0.2">
      <c r="A2231" s="3" t="s">
        <v>1084</v>
      </c>
      <c r="C2231" s="2">
        <f>C2200+C2210+C2223+C2228</f>
        <v>388789.79999999993</v>
      </c>
      <c r="E2231" s="2">
        <f>E2200+E2210+E2223+E2228</f>
        <v>392031.19999999995</v>
      </c>
      <c r="G2231" s="2">
        <f>G2200+G2210+G2223+G2228</f>
        <v>417823.86</v>
      </c>
      <c r="I2231" s="2">
        <f>I2200+I2210+I2223+I2228</f>
        <v>443891</v>
      </c>
      <c r="K2231" s="2">
        <f>K2200+K2210+K2223+K2228</f>
        <v>441684</v>
      </c>
      <c r="L2231" s="9"/>
      <c r="M2231" s="2">
        <f>M2200+M2210+M2223+M2228</f>
        <v>431198</v>
      </c>
      <c r="N2231" s="9"/>
      <c r="O2231" s="2">
        <f>O2200+O2210+O2223+O2228</f>
        <v>0</v>
      </c>
      <c r="P2231" s="9"/>
      <c r="Q2231" s="2">
        <f>Q2200+Q2210+Q2223+Q2228</f>
        <v>431198</v>
      </c>
      <c r="T2231" s="11"/>
      <c r="U2231" s="9"/>
    </row>
    <row r="2232" spans="1:21" ht="11.85" customHeight="1" x14ac:dyDescent="0.2">
      <c r="L2232" s="9"/>
      <c r="N2232" s="9"/>
      <c r="P2232" s="9"/>
    </row>
    <row r="2233" spans="1:21" ht="11.85" customHeight="1" x14ac:dyDescent="0.2">
      <c r="L2233" s="9"/>
      <c r="N2233" s="9"/>
      <c r="P2233" s="9"/>
    </row>
    <row r="2234" spans="1:21" ht="11.85" customHeight="1" x14ac:dyDescent="0.2">
      <c r="L2234" s="9"/>
      <c r="N2234" s="9"/>
      <c r="P2234" s="9"/>
    </row>
    <row r="2235" spans="1:21" ht="11.85" customHeight="1" x14ac:dyDescent="0.2">
      <c r="L2235" s="9"/>
      <c r="N2235" s="9"/>
      <c r="P2235" s="9"/>
    </row>
    <row r="2236" spans="1:21" ht="11.85" customHeight="1" x14ac:dyDescent="0.2">
      <c r="L2236" s="9"/>
      <c r="N2236" s="9"/>
      <c r="P2236" s="9"/>
    </row>
    <row r="2237" spans="1:21" ht="11.85" customHeight="1" x14ac:dyDescent="0.2">
      <c r="L2237" s="9"/>
      <c r="N2237" s="9"/>
      <c r="P2237" s="9"/>
    </row>
    <row r="2238" spans="1:21" ht="11.85" customHeight="1" x14ac:dyDescent="0.2">
      <c r="L2238" s="9"/>
      <c r="N2238" s="9"/>
      <c r="P2238" s="9"/>
    </row>
    <row r="2239" spans="1:21" ht="11.85" customHeight="1" x14ac:dyDescent="0.2">
      <c r="L2239" s="9"/>
      <c r="N2239" s="9"/>
      <c r="P2239" s="9"/>
    </row>
    <row r="2240" spans="1:21" ht="11.85" customHeight="1" x14ac:dyDescent="0.2">
      <c r="L2240" s="9"/>
      <c r="N2240" s="9"/>
      <c r="P2240" s="9"/>
    </row>
    <row r="2241" spans="1:17" ht="11.85" customHeight="1" x14ac:dyDescent="0.2">
      <c r="L2241" s="9"/>
      <c r="N2241" s="9"/>
      <c r="P2241" s="9"/>
    </row>
    <row r="2242" spans="1:17" ht="11.85" customHeight="1" x14ac:dyDescent="0.2">
      <c r="L2242" s="9"/>
      <c r="N2242" s="9"/>
      <c r="P2242" s="9"/>
    </row>
    <row r="2243" spans="1:17" ht="11.85" customHeight="1" x14ac:dyDescent="0.2">
      <c r="L2243" s="9"/>
      <c r="N2243" s="9"/>
      <c r="P2243" s="9"/>
    </row>
    <row r="2244" spans="1:17" ht="11.85" customHeight="1" x14ac:dyDescent="0.2">
      <c r="L2244" s="9"/>
      <c r="N2244" s="9"/>
      <c r="P2244" s="9"/>
    </row>
    <row r="2245" spans="1:17" ht="11.85" customHeight="1" x14ac:dyDescent="0.2">
      <c r="L2245" s="9"/>
      <c r="N2245" s="9"/>
      <c r="P2245" s="9"/>
    </row>
    <row r="2246" spans="1:17" ht="11.85" customHeight="1" x14ac:dyDescent="0.2">
      <c r="L2246" s="9"/>
      <c r="N2246" s="9"/>
      <c r="P2246" s="9"/>
    </row>
    <row r="2247" spans="1:17" ht="11.85" customHeight="1" x14ac:dyDescent="0.2">
      <c r="L2247" s="9"/>
      <c r="N2247" s="9"/>
      <c r="P2247" s="9"/>
    </row>
    <row r="2248" spans="1:17" ht="11.85" customHeight="1" x14ac:dyDescent="0.2">
      <c r="A2248" s="1"/>
      <c r="B2248" s="1"/>
      <c r="E2248" s="2" t="str">
        <f>$E$1</f>
        <v>CITY OF BRADY</v>
      </c>
    </row>
    <row r="2249" spans="1:17" ht="11.85" customHeight="1" x14ac:dyDescent="0.2">
      <c r="E2249" s="2" t="str">
        <f>$E$2</f>
        <v>BUDGET REPORT</v>
      </c>
    </row>
    <row r="2250" spans="1:17" ht="11.85" customHeight="1" x14ac:dyDescent="0.2">
      <c r="E2250" s="2" t="str">
        <f>$E$3</f>
        <v>FISCAL YEAR 2024 - 2025</v>
      </c>
    </row>
    <row r="2251" spans="1:17" ht="11.85" customHeight="1" x14ac:dyDescent="0.2">
      <c r="A2251" s="3" t="s">
        <v>3</v>
      </c>
    </row>
    <row r="2252" spans="1:17" ht="11.85" customHeight="1" x14ac:dyDescent="0.2">
      <c r="A2252" s="3" t="s">
        <v>1085</v>
      </c>
    </row>
    <row r="2253" spans="1:17" ht="11.85" customHeight="1" x14ac:dyDescent="0.2">
      <c r="I2253" s="53" t="str">
        <f>$I$6</f>
        <v>(----- 2023-2024------)</v>
      </c>
      <c r="J2253" s="53"/>
      <c r="K2253" s="53"/>
      <c r="L2253" s="6"/>
      <c r="M2253" s="54" t="str">
        <f>$M$6</f>
        <v>2024-2025</v>
      </c>
      <c r="N2253" s="54"/>
      <c r="O2253" s="54"/>
      <c r="P2253" s="54"/>
      <c r="Q2253" s="54"/>
    </row>
    <row r="2254" spans="1:17" ht="11.85" customHeight="1" x14ac:dyDescent="0.2">
      <c r="C2254" s="5" t="str">
        <f>$C$7</f>
        <v>2020-2021</v>
      </c>
      <c r="D2254" s="5"/>
      <c r="E2254" s="5" t="str">
        <f>$E$7</f>
        <v>2021-2022</v>
      </c>
      <c r="F2254" s="5"/>
      <c r="G2254" s="5" t="str">
        <f>$G$7</f>
        <v>2022-2023</v>
      </c>
      <c r="H2254" s="5"/>
      <c r="I2254" s="5" t="s">
        <v>9</v>
      </c>
      <c r="J2254" s="5"/>
      <c r="K2254" s="5" t="str">
        <f>+$K$7</f>
        <v>PROJECTED</v>
      </c>
      <c r="L2254" s="6"/>
      <c r="M2254" s="5">
        <f>$M$7</f>
        <v>0</v>
      </c>
      <c r="N2254" s="6"/>
      <c r="O2254" s="5" t="str">
        <f>$O$7</f>
        <v>2024-2025</v>
      </c>
      <c r="P2254" s="6"/>
      <c r="Q2254" s="5" t="str">
        <f>$Q$7</f>
        <v>APPROVED</v>
      </c>
    </row>
    <row r="2255" spans="1:17" ht="11.85" customHeight="1" x14ac:dyDescent="0.2">
      <c r="A2255" s="7" t="s">
        <v>273</v>
      </c>
      <c r="C2255" s="8" t="s">
        <v>12</v>
      </c>
      <c r="D2255" s="5"/>
      <c r="E2255" s="8" t="s">
        <v>12</v>
      </c>
      <c r="F2255" s="5"/>
      <c r="G2255" s="8" t="s">
        <v>12</v>
      </c>
      <c r="H2255" s="5"/>
      <c r="I2255" s="8" t="s">
        <v>13</v>
      </c>
      <c r="J2255" s="5"/>
      <c r="K2255" s="8" t="s">
        <v>13</v>
      </c>
      <c r="L2255" s="6"/>
      <c r="M2255" s="8" t="str">
        <f>$M$8</f>
        <v>BASE</v>
      </c>
      <c r="N2255" s="6"/>
      <c r="O2255" s="8" t="str">
        <f>$O$8</f>
        <v>SUPPLEMENTAL</v>
      </c>
      <c r="P2255" s="6"/>
      <c r="Q2255" s="8" t="str">
        <f>$Q$8</f>
        <v>BUDGET</v>
      </c>
    </row>
    <row r="2256" spans="1:17" ht="11.85" customHeight="1" x14ac:dyDescent="0.2"/>
    <row r="2257" spans="1:21" ht="11.85" customHeight="1" x14ac:dyDescent="0.2">
      <c r="A2257" s="10" t="s">
        <v>274</v>
      </c>
    </row>
    <row r="2258" spans="1:21" ht="11.85" customHeight="1" x14ac:dyDescent="0.2">
      <c r="A2258" s="3" t="s">
        <v>1086</v>
      </c>
      <c r="C2258" s="2">
        <v>59585.05</v>
      </c>
      <c r="E2258" s="2">
        <v>78627.009999999995</v>
      </c>
      <c r="G2258" s="2">
        <v>83342.02</v>
      </c>
      <c r="I2258" s="2">
        <v>87453</v>
      </c>
      <c r="K2258" s="2">
        <f>87453+15000</f>
        <v>102453</v>
      </c>
      <c r="L2258" s="9"/>
      <c r="M2258" s="2">
        <v>146276</v>
      </c>
      <c r="N2258" s="9"/>
      <c r="O2258" s="2">
        <v>0</v>
      </c>
      <c r="P2258" s="9"/>
      <c r="Q2258" s="2">
        <f t="shared" ref="Q2258:Q2265" si="75">M2258+O2258</f>
        <v>146276</v>
      </c>
      <c r="T2258" s="11"/>
    </row>
    <row r="2259" spans="1:21" ht="11.85" customHeight="1" x14ac:dyDescent="0.2">
      <c r="A2259" s="3" t="s">
        <v>1087</v>
      </c>
      <c r="C2259" s="2">
        <v>132.32</v>
      </c>
      <c r="E2259" s="2">
        <v>427.76</v>
      </c>
      <c r="G2259" s="2">
        <v>357.33</v>
      </c>
      <c r="I2259" s="2">
        <v>500</v>
      </c>
      <c r="K2259" s="2">
        <v>500</v>
      </c>
      <c r="L2259" s="9"/>
      <c r="M2259" s="2">
        <v>500</v>
      </c>
      <c r="N2259" s="9"/>
      <c r="O2259" s="2">
        <v>0</v>
      </c>
      <c r="P2259" s="9"/>
      <c r="Q2259" s="2">
        <f t="shared" si="75"/>
        <v>500</v>
      </c>
      <c r="T2259" s="11"/>
    </row>
    <row r="2260" spans="1:21" ht="11.85" customHeight="1" x14ac:dyDescent="0.2">
      <c r="A2260" s="3" t="s">
        <v>1088</v>
      </c>
      <c r="C2260" s="2">
        <v>1725</v>
      </c>
      <c r="E2260" s="2">
        <v>1800</v>
      </c>
      <c r="G2260" s="2">
        <v>1800</v>
      </c>
      <c r="I2260" s="2">
        <v>2400</v>
      </c>
      <c r="K2260" s="2">
        <v>2400</v>
      </c>
      <c r="L2260" s="9"/>
      <c r="M2260" s="2">
        <v>2400</v>
      </c>
      <c r="N2260" s="9"/>
      <c r="O2260" s="2">
        <v>0</v>
      </c>
      <c r="P2260" s="9"/>
      <c r="Q2260" s="2">
        <f t="shared" si="75"/>
        <v>2400</v>
      </c>
      <c r="T2260" s="11"/>
    </row>
    <row r="2261" spans="1:21" ht="11.85" customHeight="1" x14ac:dyDescent="0.2">
      <c r="A2261" s="3" t="s">
        <v>1089</v>
      </c>
      <c r="C2261" s="2">
        <v>16344.11</v>
      </c>
      <c r="E2261" s="2">
        <v>20689.419999999998</v>
      </c>
      <c r="G2261" s="2">
        <v>21876.98</v>
      </c>
      <c r="I2261" s="2">
        <v>22920</v>
      </c>
      <c r="K2261" s="2">
        <f>22920+2400</f>
        <v>25320</v>
      </c>
      <c r="L2261" s="9"/>
      <c r="M2261" s="2">
        <v>30424</v>
      </c>
      <c r="N2261" s="9"/>
      <c r="O2261" s="2">
        <v>0</v>
      </c>
      <c r="P2261" s="9"/>
      <c r="Q2261" s="2">
        <f t="shared" si="75"/>
        <v>30424</v>
      </c>
      <c r="T2261" s="11"/>
    </row>
    <row r="2262" spans="1:21" ht="11.85" customHeight="1" x14ac:dyDescent="0.2">
      <c r="A2262" s="3" t="s">
        <v>1090</v>
      </c>
      <c r="C2262" s="2">
        <v>6163.49</v>
      </c>
      <c r="E2262" s="2">
        <v>7817.08</v>
      </c>
      <c r="G2262" s="2">
        <v>8352.6299999999992</v>
      </c>
      <c r="I2262" s="2">
        <v>8758</v>
      </c>
      <c r="K2262" s="2">
        <f>8758+1500</f>
        <v>10258</v>
      </c>
      <c r="L2262" s="9"/>
      <c r="M2262" s="2">
        <v>14256</v>
      </c>
      <c r="N2262" s="9"/>
      <c r="O2262" s="2">
        <v>0</v>
      </c>
      <c r="P2262" s="9"/>
      <c r="Q2262" s="2">
        <f t="shared" si="75"/>
        <v>14256</v>
      </c>
      <c r="T2262" s="11"/>
    </row>
    <row r="2263" spans="1:21" ht="11.85" customHeight="1" x14ac:dyDescent="0.2">
      <c r="A2263" s="3" t="s">
        <v>1091</v>
      </c>
      <c r="C2263" s="2">
        <v>328.57</v>
      </c>
      <c r="E2263" s="2">
        <v>367.39</v>
      </c>
      <c r="G2263" s="2">
        <v>405.02</v>
      </c>
      <c r="I2263" s="2">
        <v>474</v>
      </c>
      <c r="K2263" s="2">
        <v>474</v>
      </c>
      <c r="L2263" s="9"/>
      <c r="M2263" s="2">
        <f>289+250</f>
        <v>539</v>
      </c>
      <c r="N2263" s="9"/>
      <c r="O2263" s="2">
        <v>0</v>
      </c>
      <c r="P2263" s="9"/>
      <c r="Q2263" s="2">
        <f t="shared" si="75"/>
        <v>539</v>
      </c>
      <c r="T2263" s="11"/>
    </row>
    <row r="2264" spans="1:21" ht="11.85" customHeight="1" x14ac:dyDescent="0.2">
      <c r="A2264" s="3" t="s">
        <v>1092</v>
      </c>
      <c r="C2264" s="2">
        <v>531.20000000000005</v>
      </c>
      <c r="E2264" s="2">
        <v>242.8</v>
      </c>
      <c r="G2264" s="2">
        <v>18</v>
      </c>
      <c r="I2264" s="2">
        <v>167</v>
      </c>
      <c r="K2264" s="2">
        <v>167</v>
      </c>
      <c r="L2264" s="9"/>
      <c r="M2264" s="2">
        <v>270</v>
      </c>
      <c r="N2264" s="9"/>
      <c r="O2264" s="2">
        <v>0</v>
      </c>
      <c r="P2264" s="9"/>
      <c r="Q2264" s="2">
        <f t="shared" si="75"/>
        <v>270</v>
      </c>
      <c r="T2264" s="11"/>
    </row>
    <row r="2265" spans="1:21" ht="11.85" customHeight="1" x14ac:dyDescent="0.2">
      <c r="A2265" s="3" t="s">
        <v>1093</v>
      </c>
      <c r="C2265" s="12">
        <v>4037.76</v>
      </c>
      <c r="E2265" s="12">
        <v>6406.51</v>
      </c>
      <c r="G2265" s="12">
        <v>6472.6</v>
      </c>
      <c r="I2265" s="12">
        <v>6860</v>
      </c>
      <c r="K2265" s="12">
        <f>6860+1200</f>
        <v>8060</v>
      </c>
      <c r="L2265" s="9"/>
      <c r="M2265" s="12">
        <v>11449</v>
      </c>
      <c r="N2265" s="9"/>
      <c r="O2265" s="12">
        <v>0</v>
      </c>
      <c r="P2265" s="9"/>
      <c r="Q2265" s="12">
        <f t="shared" si="75"/>
        <v>11449</v>
      </c>
      <c r="T2265" s="11"/>
    </row>
    <row r="2266" spans="1:21" ht="11.85" customHeight="1" x14ac:dyDescent="0.2">
      <c r="A2266" s="3" t="s">
        <v>285</v>
      </c>
      <c r="C2266" s="2">
        <f>SUM(C2258:C2265)</f>
        <v>88847.500000000015</v>
      </c>
      <c r="E2266" s="2">
        <f>SUM(E2258:E2265)</f>
        <v>116377.96999999999</v>
      </c>
      <c r="G2266" s="2">
        <f>SUM(G2258:G2265)</f>
        <v>122624.58000000002</v>
      </c>
      <c r="I2266" s="2">
        <f>SUM(I2258:I2265)</f>
        <v>129532</v>
      </c>
      <c r="K2266" s="2">
        <f>SUM(K2258:K2265)</f>
        <v>149632</v>
      </c>
      <c r="L2266" s="9"/>
      <c r="M2266" s="2">
        <f>SUM(M2258:M2265)</f>
        <v>206114</v>
      </c>
      <c r="N2266" s="9"/>
      <c r="O2266" s="2">
        <f>SUM(O2258:O2265)</f>
        <v>0</v>
      </c>
      <c r="P2266" s="9"/>
      <c r="Q2266" s="2">
        <f>SUM(Q2258:Q2265)</f>
        <v>206114</v>
      </c>
      <c r="R2266" s="9"/>
      <c r="T2266" s="14"/>
      <c r="U2266" s="9"/>
    </row>
    <row r="2267" spans="1:21" ht="11.85" customHeight="1" x14ac:dyDescent="0.2">
      <c r="L2267" s="9"/>
      <c r="N2267" s="9"/>
      <c r="P2267" s="9"/>
    </row>
    <row r="2268" spans="1:21" ht="11.85" customHeight="1" x14ac:dyDescent="0.2">
      <c r="A2268" s="10" t="s">
        <v>286</v>
      </c>
      <c r="L2268" s="9"/>
      <c r="N2268" s="9"/>
      <c r="P2268" s="9"/>
    </row>
    <row r="2269" spans="1:21" ht="11.85" customHeight="1" x14ac:dyDescent="0.2">
      <c r="A2269" s="3" t="s">
        <v>1094</v>
      </c>
      <c r="C2269" s="2">
        <v>0</v>
      </c>
      <c r="E2269" s="2">
        <v>250</v>
      </c>
      <c r="G2269" s="2">
        <v>0</v>
      </c>
      <c r="I2269" s="2">
        <v>200</v>
      </c>
      <c r="K2269" s="2">
        <v>200</v>
      </c>
      <c r="L2269" s="9"/>
      <c r="M2269" s="2">
        <v>200</v>
      </c>
      <c r="N2269" s="9"/>
      <c r="O2269" s="2">
        <v>0</v>
      </c>
      <c r="P2269" s="9"/>
      <c r="Q2269" s="2">
        <f t="shared" ref="Q2269:Q2277" si="76">M2269+O2269</f>
        <v>200</v>
      </c>
      <c r="T2269" s="11"/>
    </row>
    <row r="2270" spans="1:21" ht="11.85" customHeight="1" x14ac:dyDescent="0.2">
      <c r="A2270" s="3" t="s">
        <v>1095</v>
      </c>
      <c r="C2270" s="2">
        <v>158.5</v>
      </c>
      <c r="E2270" s="2">
        <v>11811.54</v>
      </c>
      <c r="G2270" s="2">
        <v>15008.39</v>
      </c>
      <c r="I2270" s="2">
        <v>15000</v>
      </c>
      <c r="K2270" s="2">
        <f>15000+15000</f>
        <v>30000</v>
      </c>
      <c r="L2270" s="9"/>
      <c r="M2270" s="2">
        <v>15000</v>
      </c>
      <c r="N2270" s="9"/>
      <c r="O2270" s="2">
        <v>0</v>
      </c>
      <c r="P2270" s="9"/>
      <c r="Q2270" s="2">
        <f t="shared" si="76"/>
        <v>15000</v>
      </c>
      <c r="T2270" s="11"/>
    </row>
    <row r="2271" spans="1:21" ht="11.85" hidden="1" customHeight="1" x14ac:dyDescent="0.2">
      <c r="A2271" s="3" t="s">
        <v>1096</v>
      </c>
      <c r="C2271" s="2">
        <v>0</v>
      </c>
      <c r="E2271" s="2">
        <v>0</v>
      </c>
      <c r="G2271" s="2">
        <v>0</v>
      </c>
      <c r="I2271" s="2">
        <v>0</v>
      </c>
      <c r="K2271" s="2">
        <v>0</v>
      </c>
      <c r="L2271" s="9"/>
      <c r="M2271" s="2">
        <v>0</v>
      </c>
      <c r="N2271" s="9"/>
      <c r="O2271" s="2">
        <v>0</v>
      </c>
      <c r="P2271" s="9"/>
      <c r="Q2271" s="2">
        <f t="shared" si="76"/>
        <v>0</v>
      </c>
      <c r="T2271" s="11"/>
    </row>
    <row r="2272" spans="1:21" ht="11.85" hidden="1" customHeight="1" x14ac:dyDescent="0.2">
      <c r="A2272" s="3" t="s">
        <v>1097</v>
      </c>
      <c r="C2272" s="2">
        <v>0</v>
      </c>
      <c r="E2272" s="2">
        <v>0</v>
      </c>
      <c r="G2272" s="2">
        <v>0</v>
      </c>
      <c r="I2272" s="2">
        <v>0</v>
      </c>
      <c r="K2272" s="2">
        <v>0</v>
      </c>
      <c r="L2272" s="9"/>
      <c r="M2272" s="2">
        <v>0</v>
      </c>
      <c r="N2272" s="9"/>
      <c r="O2272" s="2">
        <v>0</v>
      </c>
      <c r="P2272" s="9"/>
      <c r="Q2272" s="2">
        <f t="shared" si="76"/>
        <v>0</v>
      </c>
      <c r="T2272" s="11"/>
    </row>
    <row r="2273" spans="1:21" ht="11.85" customHeight="1" x14ac:dyDescent="0.2">
      <c r="A2273" s="3" t="s">
        <v>1098</v>
      </c>
      <c r="C2273" s="2">
        <v>0</v>
      </c>
      <c r="E2273" s="2">
        <v>0</v>
      </c>
      <c r="G2273" s="2">
        <v>6529.28</v>
      </c>
      <c r="I2273" s="2">
        <v>0</v>
      </c>
      <c r="K2273" s="2">
        <v>3100</v>
      </c>
      <c r="L2273" s="9"/>
      <c r="M2273" s="2">
        <v>1000</v>
      </c>
      <c r="N2273" s="9"/>
      <c r="O2273" s="2">
        <v>0</v>
      </c>
      <c r="P2273" s="9"/>
      <c r="Q2273" s="2">
        <f t="shared" si="76"/>
        <v>1000</v>
      </c>
      <c r="T2273" s="11"/>
    </row>
    <row r="2274" spans="1:21" ht="11.85" customHeight="1" x14ac:dyDescent="0.2">
      <c r="A2274" s="3" t="s">
        <v>1099</v>
      </c>
      <c r="C2274" s="2">
        <v>0</v>
      </c>
      <c r="E2274" s="2">
        <v>0</v>
      </c>
      <c r="G2274" s="2">
        <v>0</v>
      </c>
      <c r="I2274" s="2">
        <v>0</v>
      </c>
      <c r="K2274" s="2">
        <v>0</v>
      </c>
      <c r="L2274" s="9"/>
      <c r="M2274" s="2">
        <v>0</v>
      </c>
      <c r="N2274" s="9"/>
      <c r="O2274" s="2">
        <v>0</v>
      </c>
      <c r="P2274" s="9"/>
      <c r="Q2274" s="2">
        <f t="shared" si="76"/>
        <v>0</v>
      </c>
      <c r="T2274" s="11"/>
    </row>
    <row r="2275" spans="1:21" ht="11.85" customHeight="1" x14ac:dyDescent="0.2">
      <c r="A2275" s="3" t="s">
        <v>1100</v>
      </c>
      <c r="C2275" s="2">
        <v>0</v>
      </c>
      <c r="E2275" s="2">
        <v>0</v>
      </c>
      <c r="G2275" s="2">
        <v>0</v>
      </c>
      <c r="I2275" s="2">
        <v>0</v>
      </c>
      <c r="K2275" s="2">
        <v>0</v>
      </c>
      <c r="L2275" s="9"/>
      <c r="M2275" s="2">
        <v>0</v>
      </c>
      <c r="N2275" s="9"/>
      <c r="O2275" s="2">
        <v>0</v>
      </c>
      <c r="P2275" s="9"/>
      <c r="Q2275" s="2">
        <f t="shared" si="76"/>
        <v>0</v>
      </c>
      <c r="T2275" s="11"/>
    </row>
    <row r="2276" spans="1:21" ht="11.85" customHeight="1" x14ac:dyDescent="0.2">
      <c r="A2276" s="3" t="s">
        <v>1101</v>
      </c>
      <c r="C2276" s="2">
        <v>4410.9399999999996</v>
      </c>
      <c r="E2276" s="2">
        <v>4611.53</v>
      </c>
      <c r="G2276" s="2">
        <v>5393.31</v>
      </c>
      <c r="I2276" s="2">
        <v>7000</v>
      </c>
      <c r="K2276" s="2">
        <v>7000</v>
      </c>
      <c r="L2276" s="9"/>
      <c r="M2276" s="2">
        <v>7400</v>
      </c>
      <c r="N2276" s="9"/>
      <c r="O2276" s="2">
        <v>0</v>
      </c>
      <c r="P2276" s="9"/>
      <c r="Q2276" s="2">
        <f t="shared" si="76"/>
        <v>7400</v>
      </c>
      <c r="T2276" s="11"/>
    </row>
    <row r="2277" spans="1:21" ht="11.85" customHeight="1" x14ac:dyDescent="0.2">
      <c r="A2277" s="3" t="s">
        <v>1102</v>
      </c>
      <c r="C2277" s="12">
        <v>1554.86</v>
      </c>
      <c r="E2277" s="12">
        <v>494.67</v>
      </c>
      <c r="G2277" s="12">
        <v>0</v>
      </c>
      <c r="I2277" s="12">
        <v>2100</v>
      </c>
      <c r="K2277" s="12">
        <v>2100</v>
      </c>
      <c r="L2277" s="9"/>
      <c r="M2277" s="12">
        <v>2200</v>
      </c>
      <c r="N2277" s="9"/>
      <c r="O2277" s="12">
        <v>0</v>
      </c>
      <c r="P2277" s="9"/>
      <c r="Q2277" s="12">
        <f t="shared" si="76"/>
        <v>2200</v>
      </c>
      <c r="T2277" s="11"/>
    </row>
    <row r="2278" spans="1:21" ht="11.85" customHeight="1" x14ac:dyDescent="0.2">
      <c r="A2278" s="3" t="s">
        <v>304</v>
      </c>
      <c r="C2278" s="2">
        <f>SUM(C2269:C2277)</f>
        <v>6124.2999999999993</v>
      </c>
      <c r="E2278" s="2">
        <f>SUM(E2269:E2277)</f>
        <v>17167.739999999998</v>
      </c>
      <c r="G2278" s="2">
        <f>SUM(G2269:G2277)</f>
        <v>26930.98</v>
      </c>
      <c r="I2278" s="2">
        <f>SUM(I2269:I2277)</f>
        <v>24300</v>
      </c>
      <c r="K2278" s="2">
        <f>SUM(K2269:K2277)</f>
        <v>42400</v>
      </c>
      <c r="L2278" s="9"/>
      <c r="M2278" s="2">
        <f>SUM(M2269:M2277)</f>
        <v>25800</v>
      </c>
      <c r="N2278" s="9"/>
      <c r="O2278" s="2">
        <f>SUM(O2269:O2277)</f>
        <v>0</v>
      </c>
      <c r="P2278" s="9"/>
      <c r="Q2278" s="2">
        <f>SUM(Q2269:Q2277)</f>
        <v>25800</v>
      </c>
      <c r="T2278" s="14"/>
      <c r="U2278" s="9"/>
    </row>
    <row r="2279" spans="1:21" ht="11.85" customHeight="1" x14ac:dyDescent="0.2">
      <c r="L2279" s="9"/>
      <c r="N2279" s="9"/>
      <c r="P2279" s="9"/>
    </row>
    <row r="2280" spans="1:21" ht="11.85" customHeight="1" x14ac:dyDescent="0.2">
      <c r="A2280" s="10" t="s">
        <v>305</v>
      </c>
      <c r="L2280" s="9"/>
      <c r="N2280" s="9"/>
      <c r="P2280" s="9"/>
    </row>
    <row r="2281" spans="1:21" ht="11.85" customHeight="1" x14ac:dyDescent="0.2">
      <c r="A2281" s="3" t="s">
        <v>1103</v>
      </c>
      <c r="C2281" s="2">
        <v>352</v>
      </c>
      <c r="E2281" s="2">
        <v>0</v>
      </c>
      <c r="G2281" s="2">
        <v>169.6</v>
      </c>
      <c r="I2281" s="2">
        <v>200</v>
      </c>
      <c r="K2281" s="2">
        <v>200</v>
      </c>
      <c r="L2281" s="9"/>
      <c r="M2281" s="2">
        <v>200</v>
      </c>
      <c r="N2281" s="9"/>
      <c r="O2281" s="2">
        <v>0</v>
      </c>
      <c r="P2281" s="9"/>
      <c r="Q2281" s="2">
        <f t="shared" ref="Q2281:Q2297" si="77">M2281+O2281</f>
        <v>200</v>
      </c>
      <c r="T2281" s="11"/>
    </row>
    <row r="2282" spans="1:21" ht="11.85" customHeight="1" x14ac:dyDescent="0.2">
      <c r="A2282" s="3" t="s">
        <v>1104</v>
      </c>
      <c r="C2282" s="2">
        <v>1409.84</v>
      </c>
      <c r="E2282" s="2">
        <v>1882.2</v>
      </c>
      <c r="G2282" s="2">
        <v>1712</v>
      </c>
      <c r="I2282" s="2">
        <v>2400</v>
      </c>
      <c r="K2282" s="2">
        <v>2400</v>
      </c>
      <c r="L2282" s="9"/>
      <c r="M2282" s="2">
        <v>2400</v>
      </c>
      <c r="N2282" s="9"/>
      <c r="O2282" s="2">
        <v>0</v>
      </c>
      <c r="P2282" s="9"/>
      <c r="Q2282" s="2">
        <f t="shared" si="77"/>
        <v>2400</v>
      </c>
      <c r="T2282" s="11"/>
    </row>
    <row r="2283" spans="1:21" ht="11.85" customHeight="1" x14ac:dyDescent="0.2">
      <c r="A2283" s="3" t="s">
        <v>1105</v>
      </c>
      <c r="C2283" s="2">
        <v>816.05</v>
      </c>
      <c r="E2283" s="2">
        <v>806.21</v>
      </c>
      <c r="G2283" s="2">
        <v>1810.43</v>
      </c>
      <c r="I2283" s="2">
        <v>1600</v>
      </c>
      <c r="K2283" s="2">
        <v>1600</v>
      </c>
      <c r="L2283" s="9"/>
      <c r="M2283" s="2">
        <v>1600</v>
      </c>
      <c r="N2283" s="9"/>
      <c r="O2283" s="2">
        <v>0</v>
      </c>
      <c r="P2283" s="9"/>
      <c r="Q2283" s="2">
        <f t="shared" si="77"/>
        <v>1600</v>
      </c>
      <c r="T2283" s="11"/>
    </row>
    <row r="2284" spans="1:21" ht="11.85" customHeight="1" x14ac:dyDescent="0.2">
      <c r="A2284" s="3" t="s">
        <v>1106</v>
      </c>
      <c r="C2284" s="2">
        <v>673.86</v>
      </c>
      <c r="E2284" s="2">
        <v>1686.47</v>
      </c>
      <c r="G2284" s="2">
        <v>1434.3</v>
      </c>
      <c r="I2284" s="2">
        <v>2500</v>
      </c>
      <c r="K2284" s="2">
        <v>2500</v>
      </c>
      <c r="L2284" s="9"/>
      <c r="M2284" s="2">
        <v>2500</v>
      </c>
      <c r="N2284" s="9"/>
      <c r="O2284" s="2">
        <v>0</v>
      </c>
      <c r="P2284" s="9"/>
      <c r="Q2284" s="2">
        <f t="shared" si="77"/>
        <v>2500</v>
      </c>
      <c r="T2284" s="11"/>
    </row>
    <row r="2285" spans="1:21" ht="11.85" customHeight="1" x14ac:dyDescent="0.2">
      <c r="A2285" s="3" t="s">
        <v>1107</v>
      </c>
      <c r="C2285" s="2">
        <v>370.76</v>
      </c>
      <c r="E2285" s="2">
        <v>4680.2</v>
      </c>
      <c r="G2285" s="2">
        <v>545.59</v>
      </c>
      <c r="I2285" s="2">
        <v>2000</v>
      </c>
      <c r="K2285" s="2">
        <v>2000</v>
      </c>
      <c r="L2285" s="9"/>
      <c r="M2285" s="2">
        <v>2000</v>
      </c>
      <c r="N2285" s="9"/>
      <c r="O2285" s="2">
        <v>0</v>
      </c>
      <c r="P2285" s="9"/>
      <c r="Q2285" s="2">
        <f t="shared" si="77"/>
        <v>2000</v>
      </c>
      <c r="T2285" s="11"/>
    </row>
    <row r="2286" spans="1:21" ht="11.85" customHeight="1" x14ac:dyDescent="0.2">
      <c r="A2286" s="3" t="s">
        <v>1108</v>
      </c>
      <c r="C2286" s="2">
        <v>0</v>
      </c>
      <c r="E2286" s="2">
        <v>0</v>
      </c>
      <c r="G2286" s="2">
        <v>0</v>
      </c>
      <c r="I2286" s="2">
        <v>0</v>
      </c>
      <c r="K2286" s="2">
        <v>0</v>
      </c>
      <c r="L2286" s="9"/>
      <c r="M2286" s="2">
        <v>0</v>
      </c>
      <c r="N2286" s="9"/>
      <c r="O2286" s="2">
        <v>0</v>
      </c>
      <c r="P2286" s="9"/>
      <c r="Q2286" s="2">
        <f t="shared" si="77"/>
        <v>0</v>
      </c>
      <c r="T2286" s="11"/>
    </row>
    <row r="2287" spans="1:21" ht="11.85" customHeight="1" x14ac:dyDescent="0.2">
      <c r="A2287" s="3" t="s">
        <v>1109</v>
      </c>
      <c r="C2287" s="2">
        <v>0</v>
      </c>
      <c r="E2287" s="2">
        <v>0</v>
      </c>
      <c r="G2287" s="2">
        <v>0</v>
      </c>
      <c r="I2287" s="2">
        <v>300</v>
      </c>
      <c r="K2287" s="2">
        <v>300</v>
      </c>
      <c r="L2287" s="9"/>
      <c r="M2287" s="2">
        <v>300</v>
      </c>
      <c r="N2287" s="9"/>
      <c r="O2287" s="2">
        <v>0</v>
      </c>
      <c r="P2287" s="9"/>
      <c r="Q2287" s="2">
        <f t="shared" si="77"/>
        <v>300</v>
      </c>
      <c r="T2287" s="11"/>
    </row>
    <row r="2288" spans="1:21" ht="11.85" customHeight="1" x14ac:dyDescent="0.2">
      <c r="A2288" s="3" t="s">
        <v>1110</v>
      </c>
      <c r="C2288" s="2">
        <v>0</v>
      </c>
      <c r="E2288" s="2">
        <v>0</v>
      </c>
      <c r="G2288" s="2">
        <v>0</v>
      </c>
      <c r="I2288" s="2">
        <v>0</v>
      </c>
      <c r="K2288" s="2">
        <v>0</v>
      </c>
      <c r="L2288" s="9"/>
      <c r="M2288" s="2">
        <v>0</v>
      </c>
      <c r="N2288" s="9"/>
      <c r="O2288" s="2">
        <v>0</v>
      </c>
      <c r="P2288" s="9"/>
      <c r="Q2288" s="2">
        <f t="shared" si="77"/>
        <v>0</v>
      </c>
      <c r="T2288" s="11"/>
    </row>
    <row r="2289" spans="1:21" ht="11.85" customHeight="1" x14ac:dyDescent="0.2">
      <c r="A2289" s="3" t="s">
        <v>1111</v>
      </c>
      <c r="C2289" s="2">
        <v>455</v>
      </c>
      <c r="E2289" s="2">
        <v>480</v>
      </c>
      <c r="G2289" s="2">
        <v>480</v>
      </c>
      <c r="I2289" s="2">
        <v>500</v>
      </c>
      <c r="K2289" s="2">
        <v>500</v>
      </c>
      <c r="L2289" s="9"/>
      <c r="M2289" s="2">
        <v>500</v>
      </c>
      <c r="N2289" s="9"/>
      <c r="O2289" s="2">
        <v>0</v>
      </c>
      <c r="P2289" s="9"/>
      <c r="Q2289" s="2">
        <f t="shared" si="77"/>
        <v>500</v>
      </c>
      <c r="T2289" s="11"/>
    </row>
    <row r="2290" spans="1:21" ht="11.85" customHeight="1" x14ac:dyDescent="0.2">
      <c r="A2290" s="3" t="s">
        <v>1112</v>
      </c>
      <c r="C2290" s="2">
        <v>0</v>
      </c>
      <c r="E2290" s="2">
        <v>0</v>
      </c>
      <c r="G2290" s="2">
        <v>0</v>
      </c>
      <c r="I2290" s="2">
        <v>100</v>
      </c>
      <c r="K2290" s="2">
        <v>100</v>
      </c>
      <c r="L2290" s="9"/>
      <c r="M2290" s="2">
        <v>100</v>
      </c>
      <c r="N2290" s="9"/>
      <c r="O2290" s="2">
        <v>0</v>
      </c>
      <c r="P2290" s="9"/>
      <c r="Q2290" s="2">
        <f t="shared" si="77"/>
        <v>100</v>
      </c>
      <c r="T2290" s="11"/>
    </row>
    <row r="2291" spans="1:21" ht="11.85" hidden="1" customHeight="1" x14ac:dyDescent="0.2">
      <c r="A2291" s="3" t="s">
        <v>1113</v>
      </c>
      <c r="C2291" s="2">
        <v>0</v>
      </c>
      <c r="E2291" s="2">
        <v>0</v>
      </c>
      <c r="G2291" s="2">
        <v>0</v>
      </c>
      <c r="I2291" s="2">
        <v>0</v>
      </c>
      <c r="K2291" s="2">
        <v>0</v>
      </c>
      <c r="L2291" s="9"/>
      <c r="M2291" s="2">
        <v>0</v>
      </c>
      <c r="N2291" s="9"/>
      <c r="O2291" s="2">
        <v>0</v>
      </c>
      <c r="P2291" s="9"/>
      <c r="Q2291" s="2">
        <f t="shared" si="77"/>
        <v>0</v>
      </c>
      <c r="T2291" s="11"/>
    </row>
    <row r="2292" spans="1:21" ht="11.85" customHeight="1" x14ac:dyDescent="0.2">
      <c r="A2292" s="3" t="s">
        <v>1114</v>
      </c>
      <c r="C2292" s="2">
        <v>739.73</v>
      </c>
      <c r="E2292" s="2">
        <v>705.15</v>
      </c>
      <c r="G2292" s="2">
        <v>75</v>
      </c>
      <c r="I2292" s="2">
        <v>800</v>
      </c>
      <c r="K2292" s="2">
        <v>800</v>
      </c>
      <c r="L2292" s="9"/>
      <c r="M2292" s="2">
        <v>800</v>
      </c>
      <c r="N2292" s="9"/>
      <c r="O2292" s="2">
        <v>0</v>
      </c>
      <c r="P2292" s="9"/>
      <c r="Q2292" s="2">
        <f t="shared" si="77"/>
        <v>800</v>
      </c>
      <c r="T2292" s="11"/>
    </row>
    <row r="2293" spans="1:21" ht="11.85" customHeight="1" x14ac:dyDescent="0.2">
      <c r="A2293" s="3" t="s">
        <v>1115</v>
      </c>
      <c r="C2293" s="2">
        <v>1017.39</v>
      </c>
      <c r="E2293" s="2">
        <v>1969.8</v>
      </c>
      <c r="G2293" s="2">
        <v>1852.01</v>
      </c>
      <c r="I2293" s="2">
        <v>30000</v>
      </c>
      <c r="K2293" s="2">
        <v>30000</v>
      </c>
      <c r="L2293" s="9"/>
      <c r="M2293" s="2">
        <v>30000</v>
      </c>
      <c r="N2293" s="9"/>
      <c r="O2293" s="2">
        <v>75000</v>
      </c>
      <c r="P2293" s="9"/>
      <c r="Q2293" s="2">
        <f t="shared" si="77"/>
        <v>105000</v>
      </c>
      <c r="T2293" s="11"/>
    </row>
    <row r="2294" spans="1:21" ht="11.85" hidden="1" customHeight="1" x14ac:dyDescent="0.2">
      <c r="A2294" s="3" t="s">
        <v>1116</v>
      </c>
      <c r="C2294" s="2">
        <v>0</v>
      </c>
      <c r="E2294" s="2">
        <v>0</v>
      </c>
      <c r="G2294" s="2">
        <v>0</v>
      </c>
      <c r="I2294" s="2">
        <v>0</v>
      </c>
      <c r="K2294" s="2">
        <v>0</v>
      </c>
      <c r="L2294" s="9"/>
      <c r="M2294" s="2">
        <v>0</v>
      </c>
      <c r="N2294" s="9"/>
      <c r="O2294" s="2">
        <v>0</v>
      </c>
      <c r="P2294" s="9"/>
      <c r="Q2294" s="2">
        <f t="shared" si="77"/>
        <v>0</v>
      </c>
      <c r="T2294" s="11"/>
    </row>
    <row r="2295" spans="1:21" ht="11.85" customHeight="1" x14ac:dyDescent="0.2">
      <c r="A2295" s="3" t="s">
        <v>1117</v>
      </c>
      <c r="C2295" s="2">
        <v>0</v>
      </c>
      <c r="E2295" s="2">
        <v>9</v>
      </c>
      <c r="G2295" s="2">
        <v>0</v>
      </c>
      <c r="I2295" s="2">
        <v>0</v>
      </c>
      <c r="K2295" s="2">
        <v>0</v>
      </c>
      <c r="L2295" s="9"/>
      <c r="M2295" s="2">
        <v>0</v>
      </c>
      <c r="N2295" s="9"/>
      <c r="O2295" s="2">
        <v>0</v>
      </c>
      <c r="P2295" s="9"/>
      <c r="Q2295" s="2">
        <f t="shared" si="77"/>
        <v>0</v>
      </c>
      <c r="T2295" s="11"/>
    </row>
    <row r="2296" spans="1:21" ht="11.85" customHeight="1" x14ac:dyDescent="0.2">
      <c r="A2296" s="3" t="s">
        <v>1118</v>
      </c>
      <c r="C2296" s="2">
        <v>0</v>
      </c>
      <c r="E2296" s="2">
        <v>0</v>
      </c>
      <c r="G2296" s="2">
        <v>0</v>
      </c>
      <c r="I2296" s="2">
        <v>0</v>
      </c>
      <c r="K2296" s="2">
        <v>0</v>
      </c>
      <c r="L2296" s="9"/>
      <c r="M2296" s="2">
        <v>0</v>
      </c>
      <c r="N2296" s="9"/>
      <c r="O2296" s="2">
        <v>0</v>
      </c>
      <c r="P2296" s="9"/>
      <c r="Q2296" s="2">
        <f t="shared" si="77"/>
        <v>0</v>
      </c>
      <c r="T2296" s="11"/>
    </row>
    <row r="2297" spans="1:21" ht="11.85" customHeight="1" x14ac:dyDescent="0.2">
      <c r="A2297" s="3" t="s">
        <v>1119</v>
      </c>
      <c r="C2297" s="12">
        <v>0</v>
      </c>
      <c r="E2297" s="12">
        <v>0</v>
      </c>
      <c r="G2297" s="12">
        <v>0</v>
      </c>
      <c r="I2297" s="12">
        <v>0</v>
      </c>
      <c r="K2297" s="12">
        <v>0</v>
      </c>
      <c r="L2297" s="9"/>
      <c r="M2297" s="12">
        <v>0</v>
      </c>
      <c r="N2297" s="9"/>
      <c r="O2297" s="12">
        <v>0</v>
      </c>
      <c r="P2297" s="9"/>
      <c r="Q2297" s="12">
        <f t="shared" si="77"/>
        <v>0</v>
      </c>
      <c r="T2297" s="11"/>
    </row>
    <row r="2298" spans="1:21" ht="11.85" customHeight="1" x14ac:dyDescent="0.2">
      <c r="A2298" s="3" t="s">
        <v>328</v>
      </c>
      <c r="C2298" s="2">
        <f>SUM(C2281:C2297)</f>
        <v>5834.63</v>
      </c>
      <c r="E2298" s="2">
        <f>SUM(E2281:E2297)</f>
        <v>12219.029999999999</v>
      </c>
      <c r="G2298" s="2">
        <f>SUM(G2281:G2297)</f>
        <v>8078.93</v>
      </c>
      <c r="I2298" s="2">
        <f>SUM(I2281:I2297)</f>
        <v>40400</v>
      </c>
      <c r="K2298" s="2">
        <f>SUM(K2281:K2297)</f>
        <v>40400</v>
      </c>
      <c r="L2298" s="9"/>
      <c r="M2298" s="2">
        <f>SUM(M2281:M2297)</f>
        <v>40400</v>
      </c>
      <c r="N2298" s="9"/>
      <c r="O2298" s="2">
        <f>SUM(O2281:O2297)</f>
        <v>75000</v>
      </c>
      <c r="P2298" s="9"/>
      <c r="Q2298" s="2">
        <f>SUM(Q2281:Q2297)</f>
        <v>115400</v>
      </c>
      <c r="T2298" s="14"/>
    </row>
    <row r="2299" spans="1:21" ht="11.85" customHeight="1" x14ac:dyDescent="0.2">
      <c r="L2299" s="9"/>
      <c r="N2299" s="9"/>
      <c r="P2299" s="9"/>
    </row>
    <row r="2300" spans="1:21" ht="11.85" customHeight="1" x14ac:dyDescent="0.2">
      <c r="A2300" s="3" t="s">
        <v>1120</v>
      </c>
      <c r="C2300" s="2">
        <v>0</v>
      </c>
      <c r="E2300" s="2">
        <v>0</v>
      </c>
      <c r="G2300" s="2">
        <v>0</v>
      </c>
      <c r="I2300" s="2">
        <v>0</v>
      </c>
      <c r="K2300" s="2">
        <v>0</v>
      </c>
      <c r="L2300" s="9"/>
      <c r="M2300" s="2">
        <v>0</v>
      </c>
      <c r="N2300" s="9"/>
      <c r="O2300" s="2">
        <v>0</v>
      </c>
      <c r="P2300" s="9"/>
      <c r="Q2300" s="2">
        <f>M2300+O2300</f>
        <v>0</v>
      </c>
    </row>
    <row r="2301" spans="1:21" ht="11.85" customHeight="1" x14ac:dyDescent="0.2">
      <c r="A2301" s="3" t="s">
        <v>1121</v>
      </c>
      <c r="C2301" s="12">
        <v>0</v>
      </c>
      <c r="E2301" s="12">
        <v>0</v>
      </c>
      <c r="G2301" s="12">
        <v>0</v>
      </c>
      <c r="I2301" s="12">
        <v>0</v>
      </c>
      <c r="K2301" s="12">
        <v>0</v>
      </c>
      <c r="L2301" s="9"/>
      <c r="M2301" s="12">
        <v>0</v>
      </c>
      <c r="N2301" s="9"/>
      <c r="O2301" s="12">
        <v>0</v>
      </c>
      <c r="P2301" s="9"/>
      <c r="Q2301" s="12">
        <f>M2301+O2301</f>
        <v>0</v>
      </c>
    </row>
    <row r="2302" spans="1:21" ht="11.85" customHeight="1" x14ac:dyDescent="0.2">
      <c r="A2302" s="3" t="s">
        <v>331</v>
      </c>
      <c r="C2302" s="2">
        <f>SUM(C2300:C2301)</f>
        <v>0</v>
      </c>
      <c r="E2302" s="2">
        <f>SUM(E2300:E2301)</f>
        <v>0</v>
      </c>
      <c r="G2302" s="2">
        <f>SUM(G2300:G2301)</f>
        <v>0</v>
      </c>
      <c r="I2302" s="2">
        <f>SUM(I2300:I2301)</f>
        <v>0</v>
      </c>
      <c r="K2302" s="2">
        <f>SUM(K2300:K2301)</f>
        <v>0</v>
      </c>
      <c r="L2302" s="9"/>
      <c r="M2302" s="2">
        <f>SUM(M2300:M2301)</f>
        <v>0</v>
      </c>
      <c r="N2302" s="9"/>
      <c r="O2302" s="2">
        <f>SUM(O2300:O2301)</f>
        <v>0</v>
      </c>
      <c r="P2302" s="9"/>
      <c r="Q2302" s="2">
        <f>SUM(Q2300:Q2301)</f>
        <v>0</v>
      </c>
    </row>
    <row r="2303" spans="1:21" ht="11.85" customHeight="1" x14ac:dyDescent="0.2">
      <c r="G2303" s="35"/>
    </row>
    <row r="2304" spans="1:21" ht="11.85" customHeight="1" x14ac:dyDescent="0.2">
      <c r="A2304" s="3" t="s">
        <v>1122</v>
      </c>
      <c r="C2304" s="2">
        <f>C2266+C2278+C2298+C2302</f>
        <v>100806.43000000002</v>
      </c>
      <c r="E2304" s="2">
        <f>E2266+E2278+E2298+E2302</f>
        <v>145764.74</v>
      </c>
      <c r="G2304" s="2">
        <f>G2266+G2278+G2298+G2302</f>
        <v>157634.49000000002</v>
      </c>
      <c r="I2304" s="2">
        <f>I2266+I2278+I2298+I2302</f>
        <v>194232</v>
      </c>
      <c r="K2304" s="2">
        <f>K2266+K2278+K2298+K2302</f>
        <v>232432</v>
      </c>
      <c r="L2304" s="9"/>
      <c r="M2304" s="2">
        <f>M2266+M2278+M2298+M2302</f>
        <v>272314</v>
      </c>
      <c r="N2304" s="9"/>
      <c r="O2304" s="2">
        <f>O2266+O2278+O2298+O2302</f>
        <v>75000</v>
      </c>
      <c r="P2304" s="9"/>
      <c r="Q2304" s="2">
        <f>Q2266+Q2278+Q2298+Q2302</f>
        <v>347314</v>
      </c>
      <c r="R2304" s="9"/>
      <c r="T2304" s="11"/>
      <c r="U2304" s="9"/>
    </row>
    <row r="2305" spans="1:21" ht="11.85" customHeight="1" x14ac:dyDescent="0.2">
      <c r="L2305" s="9"/>
      <c r="N2305" s="9"/>
      <c r="P2305" s="9"/>
    </row>
    <row r="2306" spans="1:21" ht="11.85" customHeight="1" x14ac:dyDescent="0.2">
      <c r="L2306" s="9"/>
      <c r="N2306" s="9"/>
      <c r="P2306" s="9"/>
      <c r="R2306" s="9"/>
    </row>
    <row r="2307" spans="1:21" ht="11.85" customHeight="1" x14ac:dyDescent="0.2">
      <c r="L2307" s="9"/>
      <c r="N2307" s="9"/>
      <c r="P2307" s="9"/>
    </row>
    <row r="2308" spans="1:21" ht="11.85" customHeight="1" x14ac:dyDescent="0.2">
      <c r="L2308" s="9"/>
      <c r="N2308" s="9"/>
      <c r="P2308" s="9"/>
    </row>
    <row r="2309" spans="1:21" ht="11.85" customHeight="1" x14ac:dyDescent="0.2">
      <c r="L2309" s="9"/>
      <c r="N2309" s="9"/>
      <c r="P2309" s="9"/>
    </row>
    <row r="2310" spans="1:21" ht="11.85" customHeight="1" x14ac:dyDescent="0.2">
      <c r="A2310" s="1"/>
      <c r="B2310" s="1"/>
      <c r="E2310" s="2" t="str">
        <f>$E$1</f>
        <v>CITY OF BRADY</v>
      </c>
    </row>
    <row r="2311" spans="1:21" ht="11.85" customHeight="1" x14ac:dyDescent="0.2">
      <c r="E2311" s="2" t="str">
        <f>$E$2</f>
        <v>BUDGET REPORT</v>
      </c>
    </row>
    <row r="2312" spans="1:21" ht="11.85" customHeight="1" x14ac:dyDescent="0.2">
      <c r="E2312" s="2" t="str">
        <f>$E$3</f>
        <v>FISCAL YEAR 2024 - 2025</v>
      </c>
    </row>
    <row r="2313" spans="1:21" ht="11.85" customHeight="1" x14ac:dyDescent="0.2">
      <c r="A2313" s="3" t="s">
        <v>3</v>
      </c>
    </row>
    <row r="2314" spans="1:21" ht="11.85" customHeight="1" x14ac:dyDescent="0.2"/>
    <row r="2315" spans="1:21" ht="11.85" customHeight="1" x14ac:dyDescent="0.2">
      <c r="I2315" s="53" t="str">
        <f>$I$6</f>
        <v>(----- 2023-2024------)</v>
      </c>
      <c r="J2315" s="53"/>
      <c r="K2315" s="53"/>
      <c r="L2315" s="6"/>
      <c r="M2315" s="54" t="str">
        <f>$M$6</f>
        <v>2024-2025</v>
      </c>
      <c r="N2315" s="54"/>
      <c r="O2315" s="54"/>
      <c r="P2315" s="54"/>
      <c r="Q2315" s="54"/>
    </row>
    <row r="2316" spans="1:21" ht="11.85" customHeight="1" x14ac:dyDescent="0.2">
      <c r="C2316" s="5" t="str">
        <f>$C$7</f>
        <v>2020-2021</v>
      </c>
      <c r="D2316" s="5"/>
      <c r="E2316" s="5" t="str">
        <f>$E$7</f>
        <v>2021-2022</v>
      </c>
      <c r="F2316" s="5"/>
      <c r="G2316" s="5" t="str">
        <f>$G$7</f>
        <v>2022-2023</v>
      </c>
      <c r="H2316" s="5"/>
      <c r="I2316" s="5" t="s">
        <v>9</v>
      </c>
      <c r="J2316" s="5"/>
      <c r="K2316" s="5" t="str">
        <f>+$K$7</f>
        <v>PROJECTED</v>
      </c>
      <c r="L2316" s="6"/>
      <c r="M2316" s="5">
        <f>$M$7</f>
        <v>0</v>
      </c>
      <c r="N2316" s="6"/>
      <c r="O2316" s="5" t="str">
        <f>$O$7</f>
        <v>2024-2025</v>
      </c>
      <c r="P2316" s="6"/>
      <c r="Q2316" s="5" t="str">
        <f>$Q$7</f>
        <v>APPROVED</v>
      </c>
    </row>
    <row r="2317" spans="1:21" ht="11.85" customHeight="1" x14ac:dyDescent="0.2">
      <c r="A2317" s="7" t="s">
        <v>273</v>
      </c>
      <c r="C2317" s="8" t="s">
        <v>12</v>
      </c>
      <c r="D2317" s="5"/>
      <c r="E2317" s="8" t="s">
        <v>12</v>
      </c>
      <c r="F2317" s="5"/>
      <c r="G2317" s="8" t="s">
        <v>12</v>
      </c>
      <c r="H2317" s="5"/>
      <c r="I2317" s="8" t="s">
        <v>13</v>
      </c>
      <c r="J2317" s="5"/>
      <c r="K2317" s="8" t="s">
        <v>13</v>
      </c>
      <c r="L2317" s="6"/>
      <c r="M2317" s="8" t="str">
        <f>$M$8</f>
        <v>BASE</v>
      </c>
      <c r="N2317" s="6"/>
      <c r="O2317" s="8" t="str">
        <f>$O$8</f>
        <v>SUPPLEMENTAL</v>
      </c>
      <c r="P2317" s="6"/>
      <c r="Q2317" s="8" t="str">
        <f>$Q$8</f>
        <v>BUDGET</v>
      </c>
    </row>
    <row r="2318" spans="1:21" ht="11.85" customHeight="1" x14ac:dyDescent="0.2"/>
    <row r="2319" spans="1:21" ht="11.85" customHeight="1" x14ac:dyDescent="0.2"/>
    <row r="2320" spans="1:21" ht="11.85" customHeight="1" thickBot="1" x14ac:dyDescent="0.25">
      <c r="A2320" s="3" t="s">
        <v>1123</v>
      </c>
      <c r="C2320" s="36">
        <f>C464+C589+C693+C739+C843+C937+C1033+C1155+C1257+C1314+C1372+C1464+C1511+C1606+C1625+C1720+C1793+C1878+C2015+C2087+C2154+C2231+C2304</f>
        <v>7775306.3599999985</v>
      </c>
      <c r="D2320" s="9"/>
      <c r="E2320" s="36">
        <f>E464+E589+E693+E739+E843+E937+E1033+E1155+E1257+E1314+E1372+E1464+E1511+E1606+E1625+E1720+E1793+E1878+E2015+E2087+E2154+E2231+E2304</f>
        <v>8239562.8600000003</v>
      </c>
      <c r="F2320" s="9"/>
      <c r="G2320" s="36">
        <f>G464+G589+G693+G739+G843+G937+G1033+G1155+G1257+G1314+G1372+G1464+G1511+G1606+G1625+G1720+G1793+G1878+G2015+G2087+G2154+G2231+G2304</f>
        <v>9242391.7199999988</v>
      </c>
      <c r="H2320" s="9"/>
      <c r="I2320" s="36">
        <f>I464+I589+I693+I739+I843+I937+I1033+I1155+I1257+I1314+I1372+I1464+I1511+I1606+I1625+I1720+I1793+I1878+I2015+I2087+I2154+I2231+I2304</f>
        <v>8629307</v>
      </c>
      <c r="K2320" s="25">
        <f>K464+K589+K693+K739+K843+K937+K1033+K1155+K1257+K1314+K1372+K1464+K1511+K1606+K1625+K1720+K1793+K1878+K2015+K2087+K2154+K2231+K2304</f>
        <v>10294101</v>
      </c>
      <c r="L2320" s="9"/>
      <c r="M2320" s="25">
        <f>M464+M589+M693+M739+M843+M937+M1033+M1155+M1257+M1314+M1372+M1464+M1511+M1606+M1625+M1720+M1793+M1878+M2015+M2087+M2154+M2231+M2304</f>
        <v>8702439</v>
      </c>
      <c r="N2320" s="9"/>
      <c r="O2320" s="25">
        <f>O464+O589+O693+O739+O843+O937+O1033+O1155+O1257+O1314+O1372+O1464+O1511+O1606+O1625+O1720+O1793+O1878+O2015+O2087+O2154+O2231+O2304</f>
        <v>987720</v>
      </c>
      <c r="P2320" s="9"/>
      <c r="Q2320" s="25">
        <f>Q464+Q589+Q693+Q739+Q843+Q937+Q1033+Q1155+Q1257+Q1314+Q1372+Q1464+Q1511+Q1606+Q1625+Q1720+Q1793+Q1878+Q2015+Q2087+Q2154+Q2231+Q2304</f>
        <v>9690159</v>
      </c>
      <c r="R2320" s="9"/>
      <c r="T2320" s="14"/>
      <c r="U2320" s="9"/>
    </row>
    <row r="2321" spans="1:21" ht="11.85" customHeight="1" thickTop="1" x14ac:dyDescent="0.2">
      <c r="C2321" s="9"/>
      <c r="D2321" s="9"/>
      <c r="E2321" s="9"/>
      <c r="F2321" s="9"/>
      <c r="G2321" s="9"/>
      <c r="H2321" s="9"/>
      <c r="I2321" s="9"/>
      <c r="L2321" s="9"/>
      <c r="N2321" s="9"/>
      <c r="P2321" s="9"/>
      <c r="R2321" s="9"/>
    </row>
    <row r="2322" spans="1:21" ht="11.85" customHeight="1" x14ac:dyDescent="0.2">
      <c r="C2322" s="9"/>
      <c r="D2322" s="9"/>
      <c r="E2322" s="9"/>
      <c r="F2322" s="9"/>
      <c r="G2322" s="9"/>
      <c r="H2322" s="9"/>
      <c r="I2322" s="9"/>
      <c r="L2322" s="9"/>
      <c r="N2322" s="9"/>
      <c r="P2322" s="9"/>
      <c r="R2322" s="9"/>
    </row>
    <row r="2323" spans="1:21" ht="11.85" customHeight="1" thickBot="1" x14ac:dyDescent="0.25">
      <c r="A2323" s="3" t="s">
        <v>1124</v>
      </c>
      <c r="C2323" s="36">
        <f>C357-C2320</f>
        <v>357342.75000000186</v>
      </c>
      <c r="D2323" s="9"/>
      <c r="E2323" s="36">
        <f>E357-E2320</f>
        <v>-452519.17000000086</v>
      </c>
      <c r="F2323" s="9"/>
      <c r="G2323" s="36">
        <f>G357-G2320</f>
        <v>693177.38000000082</v>
      </c>
      <c r="H2323" s="9"/>
      <c r="I2323" s="36">
        <f>I357-I2320</f>
        <v>-851349</v>
      </c>
      <c r="K2323" s="36">
        <f>K357-K2320</f>
        <v>-2145731</v>
      </c>
      <c r="L2323" s="9"/>
      <c r="M2323" s="36">
        <f>M357-M2320</f>
        <v>-540019</v>
      </c>
      <c r="N2323" s="9"/>
      <c r="O2323" s="36">
        <f>O357-O2320</f>
        <v>29280</v>
      </c>
      <c r="P2323" s="9"/>
      <c r="Q2323" s="36">
        <f>Q357-Q2320</f>
        <v>-510739</v>
      </c>
      <c r="T2323" s="11"/>
      <c r="U2323" s="9"/>
    </row>
    <row r="2324" spans="1:21" ht="11.85" customHeight="1" thickTop="1" x14ac:dyDescent="0.2">
      <c r="C2324" s="9"/>
      <c r="D2324" s="9"/>
      <c r="E2324" s="9"/>
      <c r="F2324" s="9"/>
      <c r="G2324" s="9"/>
      <c r="H2324" s="9"/>
      <c r="I2324" s="9"/>
      <c r="L2324" s="9"/>
      <c r="N2324" s="9"/>
      <c r="P2324" s="9"/>
    </row>
    <row r="2325" spans="1:21" ht="11.85" customHeight="1" x14ac:dyDescent="0.2">
      <c r="A2325" s="3" t="s">
        <v>1125</v>
      </c>
      <c r="C2325" s="9"/>
      <c r="D2325" s="9"/>
      <c r="E2325" s="9"/>
      <c r="F2325" s="9"/>
      <c r="G2325" s="9"/>
      <c r="H2325" s="9"/>
      <c r="I2325" s="9"/>
      <c r="L2325" s="9"/>
      <c r="N2325" s="9"/>
      <c r="P2325" s="9"/>
    </row>
    <row r="2326" spans="1:21" ht="11.85" customHeight="1" thickBot="1" x14ac:dyDescent="0.25">
      <c r="A2326" s="3" t="s">
        <v>17</v>
      </c>
      <c r="C2326" s="36">
        <f>C11+C357-C2320</f>
        <v>4498970.3500000024</v>
      </c>
      <c r="D2326" s="9"/>
      <c r="E2326" s="36">
        <f>E11+E357-E2320</f>
        <v>4046451.1800000025</v>
      </c>
      <c r="F2326" s="9"/>
      <c r="G2326" s="36">
        <f>G11+G357-G2320</f>
        <v>4739628.5600000024</v>
      </c>
      <c r="H2326" s="9"/>
      <c r="I2326" s="36">
        <f>I11+I357-I2320</f>
        <v>3888279.5600000024</v>
      </c>
      <c r="K2326" s="25">
        <f>K11+K357-K2320</f>
        <v>2593897.5600000024</v>
      </c>
      <c r="L2326" s="9"/>
      <c r="M2326" s="36">
        <f>M11+M357-M2320</f>
        <v>2053878.5600000024</v>
      </c>
      <c r="N2326" s="9"/>
      <c r="P2326" s="9"/>
      <c r="Q2326" s="36">
        <f>Q11+Q357-Q2320</f>
        <v>2083158.5600000024</v>
      </c>
      <c r="T2326" s="11"/>
      <c r="U2326" s="9"/>
    </row>
    <row r="2327" spans="1:21" ht="11.85" customHeight="1" thickTop="1" x14ac:dyDescent="0.2">
      <c r="L2327" s="9"/>
      <c r="N2327" s="9"/>
      <c r="P2327" s="9"/>
    </row>
    <row r="2328" spans="1:21" ht="11.85" customHeight="1" x14ac:dyDescent="0.2"/>
    <row r="2329" spans="1:21" ht="11.85" customHeight="1" x14ac:dyDescent="0.2"/>
    <row r="2330" spans="1:21" ht="11.85" customHeight="1" x14ac:dyDescent="0.2"/>
    <row r="2331" spans="1:21" ht="11.85" customHeight="1" x14ac:dyDescent="0.2"/>
    <row r="2332" spans="1:21" ht="11.85" customHeight="1" x14ac:dyDescent="0.2"/>
    <row r="2333" spans="1:21" ht="11.85" customHeight="1" x14ac:dyDescent="0.2"/>
    <row r="2334" spans="1:21" ht="11.85" customHeight="1" x14ac:dyDescent="0.2"/>
    <row r="2335" spans="1:21" ht="11.85" customHeight="1" x14ac:dyDescent="0.2"/>
    <row r="2336" spans="1:21" ht="11.85" customHeight="1" x14ac:dyDescent="0.2"/>
    <row r="2337" spans="1:17" ht="11.85" customHeight="1" x14ac:dyDescent="0.2"/>
    <row r="2338" spans="1:17" ht="11.25" customHeight="1" x14ac:dyDescent="0.2">
      <c r="A2338" s="1"/>
      <c r="B2338" s="1"/>
      <c r="E2338" s="2" t="str">
        <f>$E$1</f>
        <v>CITY OF BRADY</v>
      </c>
    </row>
    <row r="2339" spans="1:17" ht="11.25" customHeight="1" x14ac:dyDescent="0.2">
      <c r="E2339" s="2" t="str">
        <f>$E$2</f>
        <v>BUDGET REPORT</v>
      </c>
    </row>
    <row r="2340" spans="1:17" ht="11.25" customHeight="1" x14ac:dyDescent="0.2">
      <c r="E2340" s="2" t="str">
        <f>$E$3</f>
        <v>FISCAL YEAR 2024 - 2025</v>
      </c>
    </row>
    <row r="2341" spans="1:17" ht="11.25" customHeight="1" x14ac:dyDescent="0.2">
      <c r="A2341" s="3" t="s">
        <v>1126</v>
      </c>
    </row>
    <row r="2342" spans="1:17" ht="11.25" customHeight="1" x14ac:dyDescent="0.2"/>
    <row r="2343" spans="1:17" ht="11.25" customHeight="1" x14ac:dyDescent="0.2">
      <c r="I2343" s="53" t="str">
        <f>$I$6</f>
        <v>(----- 2023-2024------)</v>
      </c>
      <c r="J2343" s="53"/>
      <c r="K2343" s="53"/>
      <c r="L2343" s="6"/>
      <c r="M2343" s="54" t="str">
        <f>$M$6</f>
        <v>2024-2025</v>
      </c>
      <c r="N2343" s="54"/>
      <c r="O2343" s="54"/>
      <c r="P2343" s="54"/>
      <c r="Q2343" s="54"/>
    </row>
    <row r="2344" spans="1:17" ht="11.25" customHeight="1" x14ac:dyDescent="0.2">
      <c r="C2344" s="5" t="str">
        <f>$C$7</f>
        <v>2020-2021</v>
      </c>
      <c r="D2344" s="5"/>
      <c r="E2344" s="5" t="str">
        <f>$E$7</f>
        <v>2021-2022</v>
      </c>
      <c r="F2344" s="5"/>
      <c r="G2344" s="5" t="str">
        <f>$G$7</f>
        <v>2022-2023</v>
      </c>
      <c r="H2344" s="5"/>
      <c r="I2344" s="5" t="s">
        <v>9</v>
      </c>
      <c r="J2344" s="5"/>
      <c r="K2344" s="5" t="str">
        <f>+$K$7</f>
        <v>PROJECTED</v>
      </c>
      <c r="L2344" s="6"/>
      <c r="M2344" s="5">
        <f>$M$7</f>
        <v>0</v>
      </c>
      <c r="N2344" s="6"/>
      <c r="O2344" s="5" t="str">
        <f>$O$7</f>
        <v>2024-2025</v>
      </c>
      <c r="P2344" s="6"/>
      <c r="Q2344" s="5" t="str">
        <f>$Q$7</f>
        <v>APPROVED</v>
      </c>
    </row>
    <row r="2345" spans="1:17" ht="11.25" customHeight="1" x14ac:dyDescent="0.2">
      <c r="A2345" s="7"/>
      <c r="C2345" s="8" t="s">
        <v>12</v>
      </c>
      <c r="D2345" s="5"/>
      <c r="E2345" s="8" t="s">
        <v>12</v>
      </c>
      <c r="F2345" s="5"/>
      <c r="G2345" s="8" t="s">
        <v>12</v>
      </c>
      <c r="H2345" s="5"/>
      <c r="I2345" s="8" t="s">
        <v>13</v>
      </c>
      <c r="J2345" s="5"/>
      <c r="K2345" s="8" t="s">
        <v>13</v>
      </c>
      <c r="L2345" s="6"/>
      <c r="M2345" s="8" t="str">
        <f>$M$8</f>
        <v>BASE</v>
      </c>
      <c r="N2345" s="6"/>
      <c r="O2345" s="8" t="str">
        <f>$O$8</f>
        <v>SUPPLEMENTAL</v>
      </c>
      <c r="P2345" s="6"/>
      <c r="Q2345" s="8" t="str">
        <f>$Q$8</f>
        <v>BUDGET</v>
      </c>
    </row>
    <row r="2346" spans="1:17" ht="11.25" customHeight="1" x14ac:dyDescent="0.2"/>
    <row r="2347" spans="1:17" ht="11.25" customHeight="1" x14ac:dyDescent="0.2">
      <c r="A2347" s="3" t="s">
        <v>16</v>
      </c>
      <c r="L2347" s="9"/>
      <c r="N2347" s="9"/>
      <c r="P2347" s="9"/>
    </row>
    <row r="2348" spans="1:17" ht="11.25" customHeight="1" x14ac:dyDescent="0.2">
      <c r="A2348" s="3" t="s">
        <v>17</v>
      </c>
      <c r="C2348" s="2">
        <v>0</v>
      </c>
      <c r="E2348" s="2">
        <f>+C2431</f>
        <v>142000</v>
      </c>
      <c r="G2348" s="2">
        <f>+E2431</f>
        <v>216189.38</v>
      </c>
      <c r="I2348" s="2">
        <f>+G2431</f>
        <v>1281782.0299999998</v>
      </c>
      <c r="K2348" s="2">
        <f>+I2348</f>
        <v>1281782.0299999998</v>
      </c>
      <c r="L2348" s="9"/>
      <c r="M2348" s="9">
        <f>+K2431</f>
        <v>2001377.0299999998</v>
      </c>
      <c r="N2348" s="9"/>
      <c r="P2348" s="9"/>
      <c r="Q2348" s="2">
        <f>+M2348</f>
        <v>2001377.0299999998</v>
      </c>
    </row>
    <row r="2349" spans="1:17" ht="11.25" customHeight="1" x14ac:dyDescent="0.2">
      <c r="L2349" s="9"/>
      <c r="N2349" s="9"/>
      <c r="P2349" s="9"/>
    </row>
    <row r="2350" spans="1:17" ht="11.25" customHeight="1" x14ac:dyDescent="0.2">
      <c r="A2350" s="10" t="s">
        <v>18</v>
      </c>
      <c r="L2350" s="9"/>
      <c r="N2350" s="9"/>
      <c r="P2350" s="9"/>
    </row>
    <row r="2351" spans="1:17" ht="11.25" customHeight="1" x14ac:dyDescent="0.2">
      <c r="L2351" s="9"/>
      <c r="N2351" s="9"/>
      <c r="P2351" s="9"/>
    </row>
    <row r="2352" spans="1:17" ht="11.25" customHeight="1" x14ac:dyDescent="0.2">
      <c r="A2352" s="10" t="s">
        <v>1127</v>
      </c>
      <c r="L2352" s="9"/>
      <c r="N2352" s="9"/>
      <c r="P2352" s="9"/>
    </row>
    <row r="2353" spans="1:17" ht="11.25" customHeight="1" x14ac:dyDescent="0.2">
      <c r="A2353" s="3" t="s">
        <v>1128</v>
      </c>
      <c r="C2353" s="2">
        <v>0</v>
      </c>
      <c r="E2353" s="2">
        <v>0</v>
      </c>
      <c r="G2353" s="2">
        <v>0</v>
      </c>
      <c r="I2353" s="2">
        <v>0</v>
      </c>
      <c r="K2353" s="2">
        <v>0</v>
      </c>
      <c r="L2353" s="9"/>
      <c r="M2353" s="2">
        <v>0</v>
      </c>
      <c r="N2353" s="9"/>
      <c r="O2353" s="2">
        <v>0</v>
      </c>
      <c r="P2353" s="9"/>
      <c r="Q2353" s="2">
        <f>+M2353+O2353</f>
        <v>0</v>
      </c>
    </row>
    <row r="2354" spans="1:17" ht="11.25" customHeight="1" x14ac:dyDescent="0.2">
      <c r="A2354" s="3" t="s">
        <v>1129</v>
      </c>
      <c r="C2354" s="12">
        <v>0</v>
      </c>
      <c r="E2354" s="12">
        <v>0</v>
      </c>
      <c r="G2354" s="12">
        <v>0</v>
      </c>
      <c r="I2354" s="12">
        <v>0</v>
      </c>
      <c r="K2354" s="12">
        <v>0</v>
      </c>
      <c r="L2354" s="9"/>
      <c r="M2354" s="12">
        <v>0</v>
      </c>
      <c r="N2354" s="9"/>
      <c r="O2354" s="12">
        <v>0</v>
      </c>
      <c r="P2354" s="9"/>
      <c r="Q2354" s="12">
        <f>+M2354+O2354</f>
        <v>0</v>
      </c>
    </row>
    <row r="2355" spans="1:17" ht="11.25" hidden="1" customHeight="1" x14ac:dyDescent="0.2">
      <c r="A2355" s="3">
        <v>0</v>
      </c>
      <c r="C2355" s="12">
        <v>0</v>
      </c>
      <c r="E2355" s="12">
        <v>0</v>
      </c>
      <c r="G2355" s="12">
        <v>0</v>
      </c>
      <c r="I2355" s="12">
        <v>0</v>
      </c>
      <c r="K2355" s="12">
        <v>0</v>
      </c>
      <c r="L2355" s="9"/>
      <c r="M2355" s="12">
        <v>0</v>
      </c>
      <c r="N2355" s="9"/>
      <c r="O2355" s="12">
        <v>0</v>
      </c>
      <c r="P2355" s="9"/>
      <c r="Q2355" s="12">
        <f>+M2355+O2355</f>
        <v>0</v>
      </c>
    </row>
    <row r="2356" spans="1:17" ht="11.25" customHeight="1" x14ac:dyDescent="0.2">
      <c r="A2356" s="3" t="s">
        <v>1130</v>
      </c>
      <c r="C2356" s="2">
        <f>SUM(C2353:C2355)</f>
        <v>0</v>
      </c>
      <c r="E2356" s="2">
        <f>SUM(E2353:E2355)</f>
        <v>0</v>
      </c>
      <c r="G2356" s="2">
        <f>SUM(G2353:G2355)</f>
        <v>0</v>
      </c>
      <c r="I2356" s="2">
        <f>SUM(I2353:I2355)</f>
        <v>0</v>
      </c>
      <c r="K2356" s="2">
        <f>SUM(K2353:K2355)</f>
        <v>0</v>
      </c>
      <c r="L2356" s="9"/>
      <c r="M2356" s="2">
        <f>SUM(M2353:M2355)</f>
        <v>0</v>
      </c>
      <c r="N2356" s="9"/>
      <c r="O2356" s="2">
        <f>SUM(O2353:O2355)</f>
        <v>0</v>
      </c>
      <c r="P2356" s="9"/>
      <c r="Q2356" s="2">
        <f>SUM(Q2353:Q2355)</f>
        <v>0</v>
      </c>
    </row>
    <row r="2357" spans="1:17" ht="11.25" customHeight="1" x14ac:dyDescent="0.2">
      <c r="L2357" s="9"/>
      <c r="N2357" s="9"/>
      <c r="P2357" s="9"/>
    </row>
    <row r="2358" spans="1:17" ht="11.85" customHeight="1" x14ac:dyDescent="0.2">
      <c r="A2358" s="10" t="s">
        <v>244</v>
      </c>
      <c r="L2358" s="9"/>
      <c r="N2358" s="9"/>
      <c r="P2358" s="9"/>
    </row>
    <row r="2359" spans="1:17" ht="11.85" customHeight="1" x14ac:dyDescent="0.2">
      <c r="A2359" s="3" t="s">
        <v>1131</v>
      </c>
      <c r="C2359" s="12">
        <v>142000</v>
      </c>
      <c r="E2359" s="12">
        <v>252000</v>
      </c>
      <c r="G2359" s="12">
        <v>1175300</v>
      </c>
      <c r="I2359" s="12">
        <v>0</v>
      </c>
      <c r="K2359" s="12">
        <v>1000000</v>
      </c>
      <c r="L2359" s="9"/>
      <c r="M2359" s="12">
        <v>0</v>
      </c>
      <c r="N2359" s="9"/>
      <c r="O2359" s="12">
        <v>0</v>
      </c>
      <c r="P2359" s="9"/>
      <c r="Q2359" s="12">
        <f>+M2359+O2359</f>
        <v>0</v>
      </c>
    </row>
    <row r="2360" spans="1:17" ht="11.85" customHeight="1" x14ac:dyDescent="0.2">
      <c r="A2360" s="3" t="s">
        <v>258</v>
      </c>
      <c r="C2360" s="2">
        <f>SUM(C2359:C2359)</f>
        <v>142000</v>
      </c>
      <c r="E2360" s="2">
        <f>SUM(E2359:E2359)</f>
        <v>252000</v>
      </c>
      <c r="G2360" s="2">
        <f>SUM(G2359:G2359)</f>
        <v>1175300</v>
      </c>
      <c r="I2360" s="2">
        <f>SUM(I2359:I2359)</f>
        <v>0</v>
      </c>
      <c r="K2360" s="2">
        <f>SUM(K2359:K2359)</f>
        <v>1000000</v>
      </c>
      <c r="L2360" s="9"/>
      <c r="M2360" s="2">
        <f>SUM(M2359:M2359)</f>
        <v>0</v>
      </c>
      <c r="N2360" s="9"/>
      <c r="O2360" s="2">
        <f>SUM(O2359:O2359)</f>
        <v>0</v>
      </c>
      <c r="P2360" s="9"/>
      <c r="Q2360" s="2">
        <f>SUM(Q2359:Q2359)</f>
        <v>0</v>
      </c>
    </row>
    <row r="2361" spans="1:17" ht="11.85" customHeight="1" x14ac:dyDescent="0.2">
      <c r="L2361" s="9"/>
      <c r="N2361" s="9"/>
      <c r="P2361" s="9"/>
    </row>
    <row r="2362" spans="1:17" ht="11.85" customHeight="1" x14ac:dyDescent="0.2"/>
    <row r="2363" spans="1:17" ht="11.25" customHeight="1" thickBot="1" x14ac:dyDescent="0.25">
      <c r="A2363" s="3" t="s">
        <v>270</v>
      </c>
      <c r="C2363" s="25">
        <f>C2356+C2360</f>
        <v>142000</v>
      </c>
      <c r="E2363" s="25">
        <f>E2356+E2360</f>
        <v>252000</v>
      </c>
      <c r="G2363" s="25">
        <f>G2356+G2360</f>
        <v>1175300</v>
      </c>
      <c r="I2363" s="25">
        <f>I2356+I2360</f>
        <v>0</v>
      </c>
      <c r="K2363" s="25">
        <f>K2356+K2360</f>
        <v>1000000</v>
      </c>
      <c r="L2363" s="9"/>
      <c r="M2363" s="25">
        <f>M2356+M2360</f>
        <v>0</v>
      </c>
      <c r="N2363" s="9"/>
      <c r="O2363" s="25">
        <f>O2356+O2360</f>
        <v>0</v>
      </c>
      <c r="P2363" s="9"/>
      <c r="Q2363" s="25">
        <f>Q2356+Q2360</f>
        <v>0</v>
      </c>
    </row>
    <row r="2364" spans="1:17" ht="11.25" customHeight="1" thickTop="1" x14ac:dyDescent="0.2">
      <c r="L2364" s="9"/>
      <c r="N2364" s="9"/>
      <c r="P2364" s="9"/>
    </row>
    <row r="2365" spans="1:17" ht="11.25" customHeight="1" x14ac:dyDescent="0.2">
      <c r="L2365" s="9"/>
      <c r="N2365" s="9"/>
      <c r="P2365" s="9"/>
    </row>
    <row r="2366" spans="1:17" ht="11.25" customHeight="1" x14ac:dyDescent="0.2">
      <c r="A2366" s="3" t="s">
        <v>271</v>
      </c>
      <c r="C2366" s="2">
        <f>C2348+C2363</f>
        <v>142000</v>
      </c>
      <c r="E2366" s="2">
        <f>E2348+E2363</f>
        <v>394000</v>
      </c>
      <c r="G2366" s="2">
        <f>G2348+G2363</f>
        <v>1391489.38</v>
      </c>
      <c r="I2366" s="2">
        <f>I2348+I2363</f>
        <v>1281782.0299999998</v>
      </c>
      <c r="K2366" s="2">
        <f>K2348+K2363</f>
        <v>2281782.0299999998</v>
      </c>
      <c r="L2366" s="9"/>
      <c r="M2366" s="2">
        <f>M2348+M2363</f>
        <v>2001377.0299999998</v>
      </c>
      <c r="N2366" s="9"/>
      <c r="P2366" s="9"/>
      <c r="Q2366" s="2">
        <f>Q2348+Q2363</f>
        <v>2001377.0299999998</v>
      </c>
    </row>
    <row r="2367" spans="1:17" ht="11.25" customHeight="1" x14ac:dyDescent="0.2"/>
    <row r="2368" spans="1:17" ht="11.85" customHeight="1" x14ac:dyDescent="0.2"/>
    <row r="2369" spans="1:5" ht="11.85" customHeight="1" x14ac:dyDescent="0.2"/>
    <row r="2370" spans="1:5" ht="11.85" customHeight="1" x14ac:dyDescent="0.2"/>
    <row r="2371" spans="1:5" ht="11.85" customHeight="1" x14ac:dyDescent="0.2"/>
    <row r="2372" spans="1:5" ht="11.85" customHeight="1" x14ac:dyDescent="0.2"/>
    <row r="2373" spans="1:5" ht="11.85" customHeight="1" x14ac:dyDescent="0.2"/>
    <row r="2374" spans="1:5" ht="11.85" customHeight="1" x14ac:dyDescent="0.2"/>
    <row r="2375" spans="1:5" ht="11.85" customHeight="1" x14ac:dyDescent="0.2"/>
    <row r="2376" spans="1:5" ht="11.85" customHeight="1" x14ac:dyDescent="0.2"/>
    <row r="2377" spans="1:5" ht="11.85" customHeight="1" x14ac:dyDescent="0.2"/>
    <row r="2378" spans="1:5" ht="11.85" customHeight="1" x14ac:dyDescent="0.2"/>
    <row r="2379" spans="1:5" ht="11.85" customHeight="1" x14ac:dyDescent="0.2"/>
    <row r="2380" spans="1:5" ht="11.85" customHeight="1" x14ac:dyDescent="0.2"/>
    <row r="2381" spans="1:5" ht="11.85" customHeight="1" x14ac:dyDescent="0.2"/>
    <row r="2382" spans="1:5" ht="11.85" customHeight="1" x14ac:dyDescent="0.2"/>
    <row r="2383" spans="1:5" ht="11.85" customHeight="1" x14ac:dyDescent="0.2"/>
    <row r="2384" spans="1:5" ht="11.85" customHeight="1" x14ac:dyDescent="0.2">
      <c r="A2384" s="1"/>
      <c r="B2384" s="1"/>
      <c r="E2384" s="2" t="str">
        <f>$E$1</f>
        <v>CITY OF BRADY</v>
      </c>
    </row>
    <row r="2385" spans="1:17" ht="11.85" customHeight="1" x14ac:dyDescent="0.2">
      <c r="E2385" s="2" t="str">
        <f>$E$2</f>
        <v>BUDGET REPORT</v>
      </c>
    </row>
    <row r="2386" spans="1:17" ht="11.85" customHeight="1" x14ac:dyDescent="0.2">
      <c r="E2386" s="2" t="str">
        <f>$E$3</f>
        <v>FISCAL YEAR 2024 - 2025</v>
      </c>
    </row>
    <row r="2387" spans="1:17" ht="11.85" customHeight="1" x14ac:dyDescent="0.2">
      <c r="A2387" s="3" t="s">
        <v>1126</v>
      </c>
    </row>
    <row r="2388" spans="1:17" ht="11.85" customHeight="1" x14ac:dyDescent="0.2">
      <c r="A2388" s="3" t="s">
        <v>1132</v>
      </c>
    </row>
    <row r="2389" spans="1:17" ht="11.85" customHeight="1" x14ac:dyDescent="0.2">
      <c r="I2389" s="53" t="str">
        <f>$I$6</f>
        <v>(----- 2023-2024------)</v>
      </c>
      <c r="J2389" s="53"/>
      <c r="K2389" s="53"/>
      <c r="L2389" s="6"/>
      <c r="M2389" s="54" t="str">
        <f>$M$6</f>
        <v>2024-2025</v>
      </c>
      <c r="N2389" s="54"/>
      <c r="O2389" s="54"/>
      <c r="P2389" s="54"/>
      <c r="Q2389" s="54"/>
    </row>
    <row r="2390" spans="1:17" ht="11.85" customHeight="1" x14ac:dyDescent="0.2">
      <c r="C2390" s="5" t="str">
        <f>$C$7</f>
        <v>2020-2021</v>
      </c>
      <c r="D2390" s="5"/>
      <c r="E2390" s="5" t="str">
        <f>$E$7</f>
        <v>2021-2022</v>
      </c>
      <c r="F2390" s="5"/>
      <c r="G2390" s="5" t="str">
        <f>$G$7</f>
        <v>2022-2023</v>
      </c>
      <c r="H2390" s="5"/>
      <c r="I2390" s="5" t="s">
        <v>9</v>
      </c>
      <c r="J2390" s="5"/>
      <c r="K2390" s="5" t="str">
        <f>+$K$7</f>
        <v>PROJECTED</v>
      </c>
      <c r="L2390" s="6"/>
      <c r="M2390" s="5">
        <f>$M$7</f>
        <v>0</v>
      </c>
      <c r="N2390" s="6"/>
      <c r="O2390" s="5" t="str">
        <f>$O$7</f>
        <v>2024-2025</v>
      </c>
      <c r="P2390" s="6"/>
      <c r="Q2390" s="5" t="str">
        <f>$Q$7</f>
        <v>APPROVED</v>
      </c>
    </row>
    <row r="2391" spans="1:17" ht="11.85" customHeight="1" x14ac:dyDescent="0.2">
      <c r="A2391" s="7" t="s">
        <v>273</v>
      </c>
      <c r="C2391" s="8" t="s">
        <v>12</v>
      </c>
      <c r="D2391" s="5"/>
      <c r="E2391" s="8" t="s">
        <v>12</v>
      </c>
      <c r="F2391" s="5"/>
      <c r="G2391" s="8" t="s">
        <v>12</v>
      </c>
      <c r="H2391" s="5"/>
      <c r="I2391" s="8" t="s">
        <v>13</v>
      </c>
      <c r="J2391" s="5"/>
      <c r="K2391" s="8" t="s">
        <v>13</v>
      </c>
      <c r="L2391" s="6"/>
      <c r="M2391" s="8" t="str">
        <f>$M$8</f>
        <v>BASE</v>
      </c>
      <c r="N2391" s="6"/>
      <c r="O2391" s="8" t="str">
        <f>$O$8</f>
        <v>SUPPLEMENTAL</v>
      </c>
      <c r="P2391" s="6"/>
      <c r="Q2391" s="8" t="str">
        <f>$Q$8</f>
        <v>BUDGET</v>
      </c>
    </row>
    <row r="2392" spans="1:17" ht="11.85" customHeight="1" x14ac:dyDescent="0.2"/>
    <row r="2393" spans="1:17" ht="11.85" customHeight="1" x14ac:dyDescent="0.2">
      <c r="A2393" s="10" t="s">
        <v>286</v>
      </c>
      <c r="L2393" s="9"/>
      <c r="N2393" s="9"/>
      <c r="P2393" s="9"/>
    </row>
    <row r="2394" spans="1:17" ht="11.85" hidden="1" customHeight="1" x14ac:dyDescent="0.2">
      <c r="A2394" s="3" t="s">
        <v>1133</v>
      </c>
      <c r="C2394" s="2">
        <v>0</v>
      </c>
      <c r="E2394" s="2">
        <v>0</v>
      </c>
      <c r="G2394" s="2">
        <v>0</v>
      </c>
      <c r="I2394" s="2">
        <v>0</v>
      </c>
      <c r="K2394" s="2">
        <v>0</v>
      </c>
      <c r="L2394" s="9"/>
      <c r="M2394" s="2">
        <v>0</v>
      </c>
      <c r="N2394" s="9"/>
      <c r="O2394" s="2">
        <v>0</v>
      </c>
      <c r="P2394" s="9"/>
      <c r="Q2394" s="2">
        <f t="shared" ref="Q2394:Q2400" si="78">+M2394+O2394</f>
        <v>0</v>
      </c>
    </row>
    <row r="2395" spans="1:17" ht="11.85" customHeight="1" x14ac:dyDescent="0.2">
      <c r="A2395" s="3" t="s">
        <v>1134</v>
      </c>
      <c r="C2395" s="2">
        <v>0</v>
      </c>
      <c r="E2395" s="2">
        <v>162960.62</v>
      </c>
      <c r="G2395" s="2">
        <v>93812.35</v>
      </c>
      <c r="I2395" s="2">
        <v>0</v>
      </c>
      <c r="K2395" s="2">
        <v>271000</v>
      </c>
      <c r="L2395" s="9"/>
      <c r="M2395" s="2">
        <v>0</v>
      </c>
      <c r="N2395" s="9"/>
      <c r="O2395" s="2">
        <v>0</v>
      </c>
      <c r="P2395" s="9"/>
      <c r="Q2395" s="2">
        <f t="shared" si="78"/>
        <v>0</v>
      </c>
    </row>
    <row r="2396" spans="1:17" ht="11.85" customHeight="1" x14ac:dyDescent="0.2">
      <c r="A2396" s="3" t="s">
        <v>1135</v>
      </c>
      <c r="C2396" s="12">
        <v>0</v>
      </c>
      <c r="E2396" s="12">
        <v>14850</v>
      </c>
      <c r="G2396" s="12">
        <v>15895</v>
      </c>
      <c r="I2396" s="12">
        <v>0</v>
      </c>
      <c r="K2396" s="12">
        <v>9405</v>
      </c>
      <c r="L2396" s="9"/>
      <c r="M2396" s="12">
        <v>0</v>
      </c>
      <c r="N2396" s="9"/>
      <c r="O2396" s="12">
        <v>0</v>
      </c>
      <c r="P2396" s="9"/>
      <c r="Q2396" s="12">
        <f>+M2396+O2396</f>
        <v>0</v>
      </c>
    </row>
    <row r="2397" spans="1:17" ht="11.85" hidden="1" customHeight="1" x14ac:dyDescent="0.2">
      <c r="C2397" s="2">
        <v>0</v>
      </c>
      <c r="E2397" s="2">
        <v>0</v>
      </c>
      <c r="G2397" s="2">
        <v>0</v>
      </c>
      <c r="I2397" s="2">
        <v>0</v>
      </c>
      <c r="K2397" s="2">
        <v>0</v>
      </c>
      <c r="L2397" s="9"/>
      <c r="M2397" s="2">
        <v>0</v>
      </c>
      <c r="N2397" s="9"/>
      <c r="O2397" s="2">
        <v>0</v>
      </c>
      <c r="P2397" s="9"/>
      <c r="Q2397" s="2">
        <f t="shared" si="78"/>
        <v>0</v>
      </c>
    </row>
    <row r="2398" spans="1:17" ht="11.85" hidden="1" customHeight="1" x14ac:dyDescent="0.2">
      <c r="C2398" s="2">
        <v>0</v>
      </c>
      <c r="E2398" s="2">
        <v>0</v>
      </c>
      <c r="G2398" s="2">
        <v>0</v>
      </c>
      <c r="I2398" s="2">
        <v>0</v>
      </c>
      <c r="K2398" s="2">
        <v>0</v>
      </c>
      <c r="L2398" s="9"/>
      <c r="M2398" s="2">
        <v>0</v>
      </c>
      <c r="N2398" s="9"/>
      <c r="O2398" s="2">
        <v>0</v>
      </c>
      <c r="P2398" s="9"/>
      <c r="Q2398" s="2">
        <f t="shared" si="78"/>
        <v>0</v>
      </c>
    </row>
    <row r="2399" spans="1:17" ht="11.85" hidden="1" customHeight="1" x14ac:dyDescent="0.2">
      <c r="C2399" s="2">
        <v>0</v>
      </c>
      <c r="E2399" s="2">
        <v>0</v>
      </c>
      <c r="G2399" s="2">
        <v>0</v>
      </c>
      <c r="I2399" s="2">
        <v>0</v>
      </c>
      <c r="K2399" s="2">
        <v>0</v>
      </c>
      <c r="L2399" s="9"/>
      <c r="M2399" s="2">
        <v>0</v>
      </c>
      <c r="N2399" s="9"/>
      <c r="O2399" s="2">
        <v>0</v>
      </c>
      <c r="P2399" s="9"/>
      <c r="Q2399" s="2">
        <f t="shared" si="78"/>
        <v>0</v>
      </c>
    </row>
    <row r="2400" spans="1:17" ht="11.85" hidden="1" customHeight="1" x14ac:dyDescent="0.2">
      <c r="C2400" s="12">
        <v>0</v>
      </c>
      <c r="E2400" s="12">
        <v>0</v>
      </c>
      <c r="G2400" s="12">
        <v>0</v>
      </c>
      <c r="I2400" s="12">
        <v>0</v>
      </c>
      <c r="K2400" s="12">
        <v>0</v>
      </c>
      <c r="L2400" s="9"/>
      <c r="M2400" s="12">
        <v>0</v>
      </c>
      <c r="N2400" s="9"/>
      <c r="O2400" s="12">
        <v>0</v>
      </c>
      <c r="P2400" s="9"/>
      <c r="Q2400" s="12">
        <f t="shared" si="78"/>
        <v>0</v>
      </c>
    </row>
    <row r="2401" spans="1:22" ht="11.85" customHeight="1" x14ac:dyDescent="0.2">
      <c r="A2401" s="3" t="s">
        <v>304</v>
      </c>
      <c r="C2401" s="2">
        <f>SUM(C2397:C2400)</f>
        <v>0</v>
      </c>
      <c r="E2401" s="2">
        <f>SUM(E2394:E2400)</f>
        <v>177810.62</v>
      </c>
      <c r="G2401" s="2">
        <f>SUM(G2394:G2400)</f>
        <v>109707.35</v>
      </c>
      <c r="I2401" s="2">
        <f>SUM(I2394:I2400)</f>
        <v>0</v>
      </c>
      <c r="K2401" s="2">
        <f>SUM(K2394:K2400)</f>
        <v>280405</v>
      </c>
      <c r="L2401" s="9"/>
      <c r="M2401" s="37">
        <f>SUM(M2394:M2400)</f>
        <v>0</v>
      </c>
      <c r="N2401" s="9"/>
      <c r="O2401" s="9">
        <f>SUM(O2394:O2400)</f>
        <v>0</v>
      </c>
      <c r="P2401" s="9"/>
      <c r="Q2401" s="9">
        <f>SUM(Q2394:Q2400)</f>
        <v>0</v>
      </c>
    </row>
    <row r="2402" spans="1:22" ht="11.85" customHeight="1" x14ac:dyDescent="0.2"/>
    <row r="2403" spans="1:22" ht="11.85" customHeight="1" x14ac:dyDescent="0.2">
      <c r="L2403" s="9"/>
      <c r="N2403" s="9"/>
      <c r="P2403" s="9"/>
    </row>
    <row r="2404" spans="1:22" ht="11.85" hidden="1" customHeight="1" x14ac:dyDescent="0.2">
      <c r="A2404" s="10" t="s">
        <v>332</v>
      </c>
      <c r="L2404" s="9"/>
      <c r="N2404" s="9"/>
      <c r="P2404" s="9"/>
    </row>
    <row r="2405" spans="1:22" ht="11.85" hidden="1" customHeight="1" x14ac:dyDescent="0.2">
      <c r="A2405" s="3" t="s">
        <v>1136</v>
      </c>
      <c r="C2405" s="12">
        <v>0</v>
      </c>
      <c r="E2405" s="12">
        <v>0</v>
      </c>
      <c r="G2405" s="12">
        <v>0</v>
      </c>
      <c r="I2405" s="12">
        <v>0</v>
      </c>
      <c r="K2405" s="12">
        <v>0</v>
      </c>
      <c r="L2405" s="9"/>
      <c r="M2405" s="12">
        <v>0</v>
      </c>
      <c r="N2405" s="9"/>
      <c r="O2405" s="12">
        <v>0</v>
      </c>
      <c r="P2405" s="9"/>
      <c r="Q2405" s="12">
        <f>M2405+O2405</f>
        <v>0</v>
      </c>
    </row>
    <row r="2406" spans="1:22" ht="11.85" hidden="1" customHeight="1" x14ac:dyDescent="0.2">
      <c r="A2406" s="3" t="s">
        <v>336</v>
      </c>
      <c r="C2406" s="2">
        <f>SUM(C2405:C2405)</f>
        <v>0</v>
      </c>
      <c r="E2406" s="2">
        <f>SUM(E2405:E2405)</f>
        <v>0</v>
      </c>
      <c r="G2406" s="2">
        <f>SUM(G2405:G2405)</f>
        <v>0</v>
      </c>
      <c r="I2406" s="2">
        <f>SUM(I2405:I2405)</f>
        <v>0</v>
      </c>
      <c r="K2406" s="2">
        <f>SUM(K2405:K2405)</f>
        <v>0</v>
      </c>
      <c r="L2406" s="9"/>
      <c r="M2406" s="2">
        <f>SUM(M2405:M2405)</f>
        <v>0</v>
      </c>
      <c r="N2406" s="9"/>
      <c r="O2406" s="2">
        <f>SUM(O2405:O2405)</f>
        <v>0</v>
      </c>
      <c r="P2406" s="9"/>
      <c r="Q2406" s="2">
        <f>SUM(Q2405:Q2405)</f>
        <v>0</v>
      </c>
      <c r="V2406" s="38"/>
    </row>
    <row r="2407" spans="1:22" ht="11.85" hidden="1" customHeight="1" x14ac:dyDescent="0.2">
      <c r="L2407" s="9"/>
      <c r="N2407" s="9"/>
      <c r="P2407" s="9"/>
      <c r="T2407" s="11"/>
    </row>
    <row r="2408" spans="1:22" ht="11.85" customHeight="1" x14ac:dyDescent="0.2">
      <c r="A2408" s="3" t="s">
        <v>1137</v>
      </c>
      <c r="C2408" s="2">
        <f>+C2401</f>
        <v>0</v>
      </c>
      <c r="E2408" s="2">
        <f>+E2401</f>
        <v>177810.62</v>
      </c>
      <c r="G2408" s="2">
        <f>+G2401</f>
        <v>109707.35</v>
      </c>
      <c r="I2408" s="2">
        <f>+I2401</f>
        <v>0</v>
      </c>
      <c r="K2408" s="2">
        <f>+K2401</f>
        <v>280405</v>
      </c>
      <c r="L2408" s="9"/>
      <c r="M2408" s="9">
        <f>+M2401</f>
        <v>0</v>
      </c>
      <c r="N2408" s="9"/>
      <c r="O2408" s="9">
        <f>+O2401</f>
        <v>0</v>
      </c>
      <c r="P2408" s="9"/>
      <c r="Q2408" s="9">
        <f>+Q2401</f>
        <v>0</v>
      </c>
      <c r="R2408" s="9"/>
      <c r="U2408" s="13"/>
    </row>
    <row r="2409" spans="1:22" ht="11.85" customHeight="1" x14ac:dyDescent="0.2">
      <c r="L2409" s="9"/>
      <c r="N2409" s="9"/>
      <c r="P2409" s="9"/>
      <c r="T2409" s="11"/>
    </row>
    <row r="2410" spans="1:22" ht="11.85" customHeight="1" x14ac:dyDescent="0.2">
      <c r="L2410" s="9"/>
      <c r="N2410" s="9"/>
      <c r="P2410" s="9"/>
    </row>
    <row r="2411" spans="1:22" ht="11.85" customHeight="1" x14ac:dyDescent="0.2">
      <c r="L2411" s="9"/>
      <c r="N2411" s="9"/>
      <c r="P2411" s="9"/>
    </row>
    <row r="2412" spans="1:22" ht="11.85" customHeight="1" x14ac:dyDescent="0.2">
      <c r="L2412" s="9"/>
      <c r="N2412" s="9"/>
      <c r="P2412" s="9"/>
    </row>
    <row r="2413" spans="1:22" ht="11.85" customHeight="1" x14ac:dyDescent="0.2">
      <c r="L2413" s="9"/>
      <c r="N2413" s="9"/>
      <c r="P2413" s="9"/>
    </row>
    <row r="2414" spans="1:22" ht="11.85" customHeight="1" x14ac:dyDescent="0.2">
      <c r="L2414" s="9"/>
      <c r="N2414" s="9"/>
      <c r="P2414" s="9"/>
    </row>
    <row r="2415" spans="1:22" ht="11.25" customHeight="1" x14ac:dyDescent="0.2">
      <c r="A2415" s="1"/>
      <c r="B2415" s="1"/>
      <c r="E2415" s="2" t="str">
        <f>$E$1</f>
        <v>CITY OF BRADY</v>
      </c>
    </row>
    <row r="2416" spans="1:22" ht="11.25" customHeight="1" x14ac:dyDescent="0.2">
      <c r="E2416" s="2" t="str">
        <f>$E$2</f>
        <v>BUDGET REPORT</v>
      </c>
    </row>
    <row r="2417" spans="1:20" ht="11.25" customHeight="1" x14ac:dyDescent="0.2">
      <c r="E2417" s="2" t="str">
        <f>$E$3</f>
        <v>FISCAL YEAR 2024 - 2025</v>
      </c>
    </row>
    <row r="2418" spans="1:20" ht="11.25" customHeight="1" x14ac:dyDescent="0.2">
      <c r="A2418" s="3" t="s">
        <v>1126</v>
      </c>
    </row>
    <row r="2419" spans="1:20" ht="11.25" customHeight="1" x14ac:dyDescent="0.2"/>
    <row r="2420" spans="1:20" ht="11.25" customHeight="1" x14ac:dyDescent="0.2">
      <c r="I2420" s="53" t="str">
        <f>$I$6</f>
        <v>(----- 2023-2024------)</v>
      </c>
      <c r="J2420" s="53"/>
      <c r="K2420" s="53"/>
      <c r="L2420" s="6"/>
      <c r="M2420" s="54" t="str">
        <f>$M$6</f>
        <v>2024-2025</v>
      </c>
      <c r="N2420" s="54"/>
      <c r="O2420" s="54"/>
      <c r="P2420" s="54"/>
      <c r="Q2420" s="54"/>
    </row>
    <row r="2421" spans="1:20" ht="11.25" customHeight="1" x14ac:dyDescent="0.2">
      <c r="C2421" s="5" t="str">
        <f>$C$7</f>
        <v>2020-2021</v>
      </c>
      <c r="D2421" s="5"/>
      <c r="E2421" s="5" t="str">
        <f>$E$7</f>
        <v>2021-2022</v>
      </c>
      <c r="F2421" s="5"/>
      <c r="G2421" s="5" t="str">
        <f>$G$7</f>
        <v>2022-2023</v>
      </c>
      <c r="H2421" s="5"/>
      <c r="I2421" s="5" t="s">
        <v>9</v>
      </c>
      <c r="J2421" s="5"/>
      <c r="K2421" s="5" t="str">
        <f>+$K$7</f>
        <v>PROJECTED</v>
      </c>
      <c r="L2421" s="6"/>
      <c r="M2421" s="5">
        <f>$M$7</f>
        <v>0</v>
      </c>
      <c r="N2421" s="6"/>
      <c r="O2421" s="5" t="str">
        <f>$O$7</f>
        <v>2024-2025</v>
      </c>
      <c r="P2421" s="6"/>
      <c r="Q2421" s="5" t="str">
        <f>$Q$7</f>
        <v>APPROVED</v>
      </c>
    </row>
    <row r="2422" spans="1:20" ht="11.25" customHeight="1" x14ac:dyDescent="0.2">
      <c r="A2422" s="7" t="s">
        <v>273</v>
      </c>
      <c r="C2422" s="8" t="s">
        <v>12</v>
      </c>
      <c r="D2422" s="5"/>
      <c r="E2422" s="8" t="s">
        <v>12</v>
      </c>
      <c r="F2422" s="5"/>
      <c r="G2422" s="8" t="s">
        <v>12</v>
      </c>
      <c r="H2422" s="5"/>
      <c r="I2422" s="8" t="s">
        <v>13</v>
      </c>
      <c r="J2422" s="5"/>
      <c r="K2422" s="8" t="s">
        <v>13</v>
      </c>
      <c r="L2422" s="6"/>
      <c r="M2422" s="8" t="str">
        <f>$M$8</f>
        <v>BASE</v>
      </c>
      <c r="N2422" s="6"/>
      <c r="O2422" s="8" t="str">
        <f>$O$8</f>
        <v>SUPPLEMENTAL</v>
      </c>
      <c r="P2422" s="6"/>
      <c r="Q2422" s="8" t="str">
        <f>$Q$8</f>
        <v>BUDGET</v>
      </c>
    </row>
    <row r="2423" spans="1:20" s="39" customFormat="1" ht="10.15" customHeight="1" x14ac:dyDescent="0.25">
      <c r="C2423" s="40"/>
      <c r="D2423" s="40"/>
      <c r="E2423" s="40"/>
      <c r="F2423" s="40"/>
      <c r="G2423" s="40"/>
      <c r="H2423" s="40"/>
      <c r="I2423" s="40"/>
      <c r="J2423" s="40"/>
      <c r="K2423" s="40"/>
      <c r="M2423" s="40"/>
      <c r="O2423" s="40"/>
      <c r="Q2423" s="40"/>
      <c r="S2423" s="40"/>
      <c r="T2423" s="4"/>
    </row>
    <row r="2424" spans="1:20" s="39" customFormat="1" ht="11.25" customHeight="1" x14ac:dyDescent="0.25">
      <c r="C2424" s="40"/>
      <c r="D2424" s="40"/>
      <c r="E2424" s="40"/>
      <c r="F2424" s="40"/>
      <c r="G2424" s="40"/>
      <c r="H2424" s="40"/>
      <c r="I2424" s="40"/>
      <c r="J2424" s="40"/>
      <c r="K2424" s="40"/>
      <c r="L2424" s="41"/>
      <c r="M2424" s="40"/>
      <c r="N2424" s="41"/>
      <c r="O2424" s="40"/>
      <c r="P2424" s="41"/>
      <c r="Q2424" s="40"/>
      <c r="S2424" s="40"/>
      <c r="T2424" s="4"/>
    </row>
    <row r="2425" spans="1:20" s="39" customFormat="1" ht="11.25" customHeight="1" thickBot="1" x14ac:dyDescent="0.3">
      <c r="A2425" s="3" t="s">
        <v>1123</v>
      </c>
      <c r="B2425" s="3"/>
      <c r="C2425" s="25">
        <f>+C2408</f>
        <v>0</v>
      </c>
      <c r="D2425" s="2"/>
      <c r="E2425" s="25">
        <f>+E2408</f>
        <v>177810.62</v>
      </c>
      <c r="F2425" s="2"/>
      <c r="G2425" s="25">
        <f>+G2408</f>
        <v>109707.35</v>
      </c>
      <c r="H2425" s="2"/>
      <c r="I2425" s="25">
        <f>+I2408</f>
        <v>0</v>
      </c>
      <c r="J2425" s="2"/>
      <c r="K2425" s="25">
        <f>+K2408</f>
        <v>280405</v>
      </c>
      <c r="L2425" s="9"/>
      <c r="M2425" s="36">
        <f>+M2408</f>
        <v>0</v>
      </c>
      <c r="N2425" s="9"/>
      <c r="O2425" s="36">
        <f>+O2408</f>
        <v>0</v>
      </c>
      <c r="P2425" s="9"/>
      <c r="Q2425" s="36">
        <f>+Q2408</f>
        <v>0</v>
      </c>
      <c r="R2425" s="3"/>
      <c r="S2425" s="40"/>
      <c r="T2425" s="4"/>
    </row>
    <row r="2426" spans="1:20" s="39" customFormat="1" ht="11.25" customHeight="1" thickTop="1" x14ac:dyDescent="0.25">
      <c r="A2426" s="3"/>
      <c r="B2426" s="3"/>
      <c r="C2426" s="2"/>
      <c r="D2426" s="2"/>
      <c r="E2426" s="2"/>
      <c r="F2426" s="2"/>
      <c r="G2426" s="2"/>
      <c r="H2426" s="2"/>
      <c r="I2426" s="2"/>
      <c r="J2426" s="2"/>
      <c r="K2426" s="2"/>
      <c r="L2426" s="9"/>
      <c r="M2426" s="2"/>
      <c r="N2426" s="9"/>
      <c r="O2426" s="2"/>
      <c r="P2426" s="9"/>
      <c r="Q2426" s="2"/>
      <c r="R2426" s="3"/>
      <c r="S2426" s="40"/>
      <c r="T2426" s="4"/>
    </row>
    <row r="2427" spans="1:20" s="39" customFormat="1" ht="11.25" customHeight="1" thickBot="1" x14ac:dyDescent="0.3">
      <c r="A2427" s="3" t="s">
        <v>1124</v>
      </c>
      <c r="B2427" s="3"/>
      <c r="C2427" s="25">
        <f>C2363-C2425</f>
        <v>142000</v>
      </c>
      <c r="D2427" s="2"/>
      <c r="E2427" s="25">
        <f>E2363-E2425</f>
        <v>74189.38</v>
      </c>
      <c r="F2427" s="2"/>
      <c r="G2427" s="25">
        <f>G2363-G2425</f>
        <v>1065592.6499999999</v>
      </c>
      <c r="H2427" s="2"/>
      <c r="I2427" s="25">
        <f>I2363-I2425</f>
        <v>0</v>
      </c>
      <c r="J2427" s="2"/>
      <c r="K2427" s="25">
        <f>K2363-K2425</f>
        <v>719595</v>
      </c>
      <c r="L2427" s="9"/>
      <c r="M2427" s="36">
        <f>M2363-M2425</f>
        <v>0</v>
      </c>
      <c r="N2427" s="9"/>
      <c r="O2427" s="36">
        <f>O2363-O2425</f>
        <v>0</v>
      </c>
      <c r="P2427" s="9"/>
      <c r="Q2427" s="36">
        <f>Q2363-Q2425</f>
        <v>0</v>
      </c>
      <c r="R2427" s="3"/>
      <c r="S2427" s="40"/>
      <c r="T2427" s="4"/>
    </row>
    <row r="2428" spans="1:20" s="39" customFormat="1" ht="11.25" customHeight="1" thickTop="1" x14ac:dyDescent="0.25">
      <c r="A2428" s="3"/>
      <c r="B2428" s="3"/>
      <c r="C2428" s="2"/>
      <c r="D2428" s="2"/>
      <c r="E2428" s="2"/>
      <c r="F2428" s="2"/>
      <c r="G2428" s="2"/>
      <c r="H2428" s="2"/>
      <c r="I2428" s="2"/>
      <c r="J2428" s="2"/>
      <c r="K2428" s="2"/>
      <c r="L2428" s="9"/>
      <c r="M2428" s="2"/>
      <c r="N2428" s="9"/>
      <c r="O2428" s="2"/>
      <c r="P2428" s="9"/>
      <c r="Q2428" s="2"/>
      <c r="R2428" s="3"/>
      <c r="S2428" s="40"/>
      <c r="T2428" s="4"/>
    </row>
    <row r="2429" spans="1:20" s="39" customFormat="1" ht="11.25" customHeight="1" x14ac:dyDescent="0.25">
      <c r="A2429" s="3"/>
      <c r="B2429" s="3"/>
      <c r="C2429" s="2"/>
      <c r="D2429" s="2"/>
      <c r="E2429" s="2"/>
      <c r="F2429" s="2"/>
      <c r="G2429" s="2"/>
      <c r="H2429" s="2"/>
      <c r="I2429" s="2"/>
      <c r="J2429" s="2"/>
      <c r="K2429" s="2"/>
      <c r="L2429" s="9"/>
      <c r="M2429" s="2"/>
      <c r="N2429" s="9"/>
      <c r="O2429" s="2"/>
      <c r="P2429" s="9"/>
      <c r="Q2429" s="2"/>
      <c r="R2429" s="3"/>
      <c r="S2429" s="40"/>
      <c r="T2429" s="4"/>
    </row>
    <row r="2430" spans="1:20" s="39" customFormat="1" ht="11.25" customHeight="1" x14ac:dyDescent="0.25">
      <c r="A2430" s="3" t="s">
        <v>1125</v>
      </c>
      <c r="B2430" s="3"/>
      <c r="C2430" s="2"/>
      <c r="D2430" s="2"/>
      <c r="E2430" s="2"/>
      <c r="F2430" s="2"/>
      <c r="G2430" s="2"/>
      <c r="H2430" s="2"/>
      <c r="I2430" s="2"/>
      <c r="J2430" s="2"/>
      <c r="K2430" s="2"/>
      <c r="L2430" s="9"/>
      <c r="M2430" s="2"/>
      <c r="N2430" s="9"/>
      <c r="O2430" s="2"/>
      <c r="P2430" s="9"/>
      <c r="Q2430" s="2"/>
      <c r="R2430" s="3"/>
      <c r="S2430" s="40"/>
      <c r="T2430" s="4"/>
    </row>
    <row r="2431" spans="1:20" s="39" customFormat="1" ht="11.25" customHeight="1" thickBot="1" x14ac:dyDescent="0.3">
      <c r="A2431" s="3" t="s">
        <v>17</v>
      </c>
      <c r="B2431" s="3"/>
      <c r="C2431" s="25">
        <f>C2348+C2363-C2408</f>
        <v>142000</v>
      </c>
      <c r="D2431" s="2"/>
      <c r="E2431" s="25">
        <f>E2348+E2363-E2408</f>
        <v>216189.38</v>
      </c>
      <c r="F2431" s="2"/>
      <c r="G2431" s="25">
        <f>G2348+G2363-G2408</f>
        <v>1281782.0299999998</v>
      </c>
      <c r="H2431" s="2"/>
      <c r="I2431" s="25">
        <f>I2348+I2363-I2408</f>
        <v>1281782.0299999998</v>
      </c>
      <c r="J2431" s="2"/>
      <c r="K2431" s="25">
        <f>K2348+K2363-K2408</f>
        <v>2001377.0299999998</v>
      </c>
      <c r="L2431" s="9"/>
      <c r="M2431" s="36">
        <f>M2348+M2363-M2408</f>
        <v>2001377.0299999998</v>
      </c>
      <c r="N2431" s="9"/>
      <c r="O2431" s="2"/>
      <c r="P2431" s="9"/>
      <c r="Q2431" s="36">
        <f>Q2348+Q2363-Q2408</f>
        <v>2001377.0299999998</v>
      </c>
      <c r="R2431" s="3"/>
      <c r="S2431" s="40"/>
      <c r="T2431" s="4"/>
    </row>
    <row r="2432" spans="1:20" s="39" customFormat="1" ht="11.25" customHeight="1" thickTop="1" x14ac:dyDescent="0.25">
      <c r="A2432" s="3"/>
      <c r="B2432" s="3"/>
      <c r="C2432" s="2"/>
      <c r="D2432" s="2"/>
      <c r="E2432" s="2"/>
      <c r="F2432" s="2"/>
      <c r="G2432" s="2"/>
      <c r="H2432" s="2"/>
      <c r="I2432" s="2"/>
      <c r="J2432" s="2"/>
      <c r="K2432" s="2"/>
      <c r="L2432" s="9"/>
      <c r="M2432" s="2"/>
      <c r="N2432" s="9"/>
      <c r="O2432" s="2"/>
      <c r="P2432" s="9"/>
      <c r="Q2432" s="2"/>
      <c r="R2432" s="3"/>
      <c r="S2432" s="40"/>
      <c r="T2432" s="4"/>
    </row>
    <row r="2433" spans="3:20" s="39" customFormat="1" ht="11.25" customHeight="1" x14ac:dyDescent="0.25">
      <c r="C2433" s="40"/>
      <c r="D2433" s="40"/>
      <c r="E2433" s="40"/>
      <c r="F2433" s="40"/>
      <c r="G2433" s="40"/>
      <c r="H2433" s="40"/>
      <c r="I2433" s="40"/>
      <c r="J2433" s="40"/>
      <c r="K2433" s="40"/>
      <c r="M2433" s="40"/>
      <c r="O2433" s="40"/>
      <c r="Q2433" s="40"/>
      <c r="S2433" s="40"/>
      <c r="T2433" s="4"/>
    </row>
    <row r="2434" spans="3:20" ht="11.25" customHeight="1" x14ac:dyDescent="0.2"/>
    <row r="2435" spans="3:20" ht="11.25" customHeight="1" x14ac:dyDescent="0.2"/>
    <row r="2436" spans="3:20" ht="11.25" customHeight="1" x14ac:dyDescent="0.2"/>
    <row r="2437" spans="3:20" ht="11.25" customHeight="1" x14ac:dyDescent="0.2"/>
    <row r="2438" spans="3:20" ht="11.25" customHeight="1" x14ac:dyDescent="0.2"/>
    <row r="2439" spans="3:20" ht="11.25" customHeight="1" x14ac:dyDescent="0.2"/>
    <row r="2440" spans="3:20" ht="11.25" customHeight="1" x14ac:dyDescent="0.2"/>
    <row r="2441" spans="3:20" ht="11.25" customHeight="1" x14ac:dyDescent="0.2"/>
    <row r="2442" spans="3:20" ht="11.85" customHeight="1" x14ac:dyDescent="0.2"/>
    <row r="2443" spans="3:20" ht="11.85" customHeight="1" x14ac:dyDescent="0.2"/>
    <row r="2444" spans="3:20" ht="11.85" customHeight="1" x14ac:dyDescent="0.2"/>
    <row r="2445" spans="3:20" ht="11.85" customHeight="1" x14ac:dyDescent="0.2"/>
    <row r="2446" spans="3:20" ht="11.85" customHeight="1" x14ac:dyDescent="0.2"/>
    <row r="2447" spans="3:20" ht="11.85" customHeight="1" x14ac:dyDescent="0.2"/>
    <row r="2448" spans="3:20" ht="11.85" customHeight="1" x14ac:dyDescent="0.2"/>
    <row r="2449" ht="11.85" customHeight="1" x14ac:dyDescent="0.2"/>
    <row r="2450" ht="11.85" customHeight="1" x14ac:dyDescent="0.2"/>
    <row r="2451" ht="11.85" customHeight="1" x14ac:dyDescent="0.2"/>
    <row r="2452" ht="11.85" customHeight="1" x14ac:dyDescent="0.2"/>
    <row r="2453" ht="11.85" customHeight="1" x14ac:dyDescent="0.2"/>
    <row r="2454" ht="11.85" customHeight="1" x14ac:dyDescent="0.2"/>
    <row r="2455" ht="11.85" customHeight="1" x14ac:dyDescent="0.2"/>
    <row r="2456" ht="11.85" customHeight="1" x14ac:dyDescent="0.2"/>
    <row r="2457" ht="11.85" customHeight="1" x14ac:dyDescent="0.2"/>
    <row r="2458" ht="11.85" customHeight="1" x14ac:dyDescent="0.2"/>
    <row r="2459" ht="11.85" customHeight="1" x14ac:dyDescent="0.2"/>
    <row r="2460" ht="11.85" customHeight="1" x14ac:dyDescent="0.2"/>
    <row r="2461" ht="11.85" customHeight="1" x14ac:dyDescent="0.2"/>
    <row r="2462" ht="11.85" customHeight="1" x14ac:dyDescent="0.2"/>
    <row r="2463" ht="11.85" customHeight="1" x14ac:dyDescent="0.2"/>
    <row r="2464" ht="11.85" customHeight="1" x14ac:dyDescent="0.2"/>
    <row r="2465" spans="1:17" ht="11.85" customHeight="1" x14ac:dyDescent="0.2"/>
    <row r="2466" spans="1:17" ht="11.85" customHeight="1" x14ac:dyDescent="0.2"/>
    <row r="2467" spans="1:17" ht="11.85" customHeight="1" x14ac:dyDescent="0.2"/>
    <row r="2468" spans="1:17" ht="11.85" customHeight="1" x14ac:dyDescent="0.2"/>
    <row r="2469" spans="1:17" ht="11.85" customHeight="1" x14ac:dyDescent="0.2"/>
    <row r="2470" spans="1:17" ht="11.85" customHeight="1" x14ac:dyDescent="0.2"/>
    <row r="2471" spans="1:17" ht="11.85" customHeight="1" x14ac:dyDescent="0.2"/>
    <row r="2472" spans="1:17" ht="11.85" customHeight="1" x14ac:dyDescent="0.2"/>
    <row r="2473" spans="1:17" ht="11.85" customHeight="1" x14ac:dyDescent="0.2"/>
    <row r="2474" spans="1:17" ht="11.85" customHeight="1" x14ac:dyDescent="0.2"/>
    <row r="2475" spans="1:17" ht="11.85" customHeight="1" x14ac:dyDescent="0.2">
      <c r="A2475" s="1"/>
      <c r="B2475" s="1"/>
      <c r="E2475" s="2" t="str">
        <f>$E$1</f>
        <v>CITY OF BRADY</v>
      </c>
    </row>
    <row r="2476" spans="1:17" ht="11.85" customHeight="1" x14ac:dyDescent="0.2">
      <c r="E2476" s="2" t="str">
        <f>$E$2</f>
        <v>BUDGET REPORT</v>
      </c>
    </row>
    <row r="2477" spans="1:17" ht="11.85" customHeight="1" x14ac:dyDescent="0.2">
      <c r="E2477" s="2" t="str">
        <f>$E$3</f>
        <v>FISCAL YEAR 2024 - 2025</v>
      </c>
    </row>
    <row r="2478" spans="1:17" ht="11.85" customHeight="1" x14ac:dyDescent="0.2">
      <c r="A2478" s="3" t="s">
        <v>1138</v>
      </c>
    </row>
    <row r="2479" spans="1:17" ht="11.85" customHeight="1" x14ac:dyDescent="0.2"/>
    <row r="2480" spans="1:17" ht="11.85" customHeight="1" x14ac:dyDescent="0.2">
      <c r="I2480" s="53" t="str">
        <f>$I$6</f>
        <v>(----- 2023-2024------)</v>
      </c>
      <c r="J2480" s="53"/>
      <c r="K2480" s="53"/>
      <c r="L2480" s="6"/>
      <c r="M2480" s="54" t="str">
        <f>$M$6</f>
        <v>2024-2025</v>
      </c>
      <c r="N2480" s="54"/>
      <c r="O2480" s="54"/>
      <c r="P2480" s="54"/>
      <c r="Q2480" s="54"/>
    </row>
    <row r="2481" spans="1:19" ht="11.85" customHeight="1" x14ac:dyDescent="0.2">
      <c r="C2481" s="5" t="str">
        <f>$C$7</f>
        <v>2020-2021</v>
      </c>
      <c r="D2481" s="5"/>
      <c r="E2481" s="5" t="str">
        <f>$E$7</f>
        <v>2021-2022</v>
      </c>
      <c r="F2481" s="5"/>
      <c r="G2481" s="5" t="str">
        <f>$G$7</f>
        <v>2022-2023</v>
      </c>
      <c r="H2481" s="5"/>
      <c r="I2481" s="5" t="s">
        <v>9</v>
      </c>
      <c r="J2481" s="5"/>
      <c r="K2481" s="5" t="str">
        <f>+$K$7</f>
        <v>PROJECTED</v>
      </c>
      <c r="L2481" s="6"/>
      <c r="M2481" s="5">
        <f>$M$7</f>
        <v>0</v>
      </c>
      <c r="N2481" s="6"/>
      <c r="O2481" s="5" t="str">
        <f>$O$7</f>
        <v>2024-2025</v>
      </c>
      <c r="P2481" s="6"/>
      <c r="Q2481" s="5" t="str">
        <f>$Q$7</f>
        <v>APPROVED</v>
      </c>
    </row>
    <row r="2482" spans="1:19" ht="11.85" customHeight="1" x14ac:dyDescent="0.2">
      <c r="A2482" s="7"/>
      <c r="C2482" s="8" t="s">
        <v>12</v>
      </c>
      <c r="D2482" s="5"/>
      <c r="E2482" s="8" t="s">
        <v>12</v>
      </c>
      <c r="F2482" s="5"/>
      <c r="G2482" s="8" t="s">
        <v>12</v>
      </c>
      <c r="H2482" s="5"/>
      <c r="I2482" s="8" t="s">
        <v>13</v>
      </c>
      <c r="J2482" s="5"/>
      <c r="K2482" s="8" t="s">
        <v>13</v>
      </c>
      <c r="L2482" s="6"/>
      <c r="M2482" s="8" t="str">
        <f>$M$8</f>
        <v>BASE</v>
      </c>
      <c r="N2482" s="6"/>
      <c r="O2482" s="8" t="str">
        <f>$O$8</f>
        <v>SUPPLEMENTAL</v>
      </c>
      <c r="P2482" s="6"/>
      <c r="Q2482" s="8" t="str">
        <f>$Q$8</f>
        <v>BUDGET</v>
      </c>
    </row>
    <row r="2483" spans="1:19" ht="11.85" customHeight="1" x14ac:dyDescent="0.2">
      <c r="S2483" s="42"/>
    </row>
    <row r="2484" spans="1:19" ht="11.85" customHeight="1" x14ac:dyDescent="0.2">
      <c r="A2484" s="3" t="s">
        <v>16</v>
      </c>
      <c r="J2484" s="43"/>
    </row>
    <row r="2485" spans="1:19" ht="11.85" customHeight="1" x14ac:dyDescent="0.2">
      <c r="A2485" s="3" t="s">
        <v>17</v>
      </c>
      <c r="C2485" s="2">
        <v>4164020.18</v>
      </c>
      <c r="E2485" s="2">
        <f>+C2946</f>
        <v>3547907.8499999996</v>
      </c>
      <c r="G2485" s="2">
        <f>+E2946</f>
        <v>4533478.8499999996</v>
      </c>
      <c r="I2485" s="2">
        <f>+G2946</f>
        <v>4782931.7299999986</v>
      </c>
      <c r="K2485" s="2">
        <f>+I2485</f>
        <v>4782931.7299999986</v>
      </c>
      <c r="L2485" s="9"/>
      <c r="M2485" s="2">
        <f>+K2946</f>
        <v>3999777.7299999986</v>
      </c>
      <c r="N2485" s="9"/>
      <c r="P2485" s="9"/>
      <c r="Q2485" s="2">
        <f>+M2485</f>
        <v>3999777.7299999986</v>
      </c>
    </row>
    <row r="2486" spans="1:19" ht="11.85" customHeight="1" x14ac:dyDescent="0.2">
      <c r="L2486" s="9"/>
      <c r="N2486" s="9"/>
      <c r="P2486" s="9"/>
    </row>
    <row r="2487" spans="1:19" ht="11.85" customHeight="1" x14ac:dyDescent="0.2">
      <c r="A2487" s="10" t="s">
        <v>18</v>
      </c>
      <c r="L2487" s="9"/>
      <c r="N2487" s="9"/>
      <c r="P2487" s="9"/>
    </row>
    <row r="2488" spans="1:19" ht="11.85" customHeight="1" x14ac:dyDescent="0.2">
      <c r="L2488" s="9"/>
      <c r="N2488" s="9"/>
      <c r="P2488" s="9"/>
    </row>
    <row r="2489" spans="1:19" ht="11.85" customHeight="1" x14ac:dyDescent="0.2">
      <c r="A2489" s="10" t="s">
        <v>1139</v>
      </c>
      <c r="L2489" s="9"/>
      <c r="N2489" s="9"/>
      <c r="P2489" s="9"/>
    </row>
    <row r="2490" spans="1:19" ht="11.85" customHeight="1" x14ac:dyDescent="0.2">
      <c r="A2490" s="3" t="s">
        <v>1140</v>
      </c>
      <c r="C2490" s="2">
        <v>2213090.06</v>
      </c>
      <c r="E2490" s="2">
        <v>2448380.92</v>
      </c>
      <c r="G2490" s="2">
        <v>2359221.5</v>
      </c>
      <c r="I2490" s="2">
        <v>2300000</v>
      </c>
      <c r="K2490" s="2">
        <v>2300000</v>
      </c>
      <c r="L2490" s="9"/>
      <c r="M2490" s="2">
        <v>2300000</v>
      </c>
      <c r="N2490" s="9"/>
      <c r="O2490" s="2">
        <v>0</v>
      </c>
      <c r="P2490" s="9"/>
      <c r="Q2490" s="2">
        <f t="shared" ref="Q2490:Q2496" si="79">M2490+O2490</f>
        <v>2300000</v>
      </c>
    </row>
    <row r="2491" spans="1:19" ht="11.85" customHeight="1" x14ac:dyDescent="0.2">
      <c r="A2491" s="3" t="s">
        <v>1141</v>
      </c>
      <c r="C2491" s="2">
        <v>1470763.33</v>
      </c>
      <c r="E2491" s="2">
        <v>1612757.78</v>
      </c>
      <c r="G2491" s="2">
        <v>1542929.85</v>
      </c>
      <c r="I2491" s="2">
        <v>1500000</v>
      </c>
      <c r="K2491" s="2">
        <v>1500000</v>
      </c>
      <c r="L2491" s="9"/>
      <c r="M2491" s="2">
        <v>1500000</v>
      </c>
      <c r="N2491" s="9"/>
      <c r="O2491" s="2">
        <v>0</v>
      </c>
      <c r="P2491" s="9"/>
      <c r="Q2491" s="2">
        <f t="shared" si="79"/>
        <v>1500000</v>
      </c>
    </row>
    <row r="2492" spans="1:19" ht="11.85" customHeight="1" x14ac:dyDescent="0.2">
      <c r="A2492" s="3" t="s">
        <v>1142</v>
      </c>
      <c r="C2492" s="2">
        <v>0</v>
      </c>
      <c r="E2492" s="2">
        <v>0</v>
      </c>
      <c r="G2492" s="2">
        <v>0</v>
      </c>
      <c r="I2492" s="2">
        <v>0</v>
      </c>
      <c r="K2492" s="2">
        <v>0</v>
      </c>
      <c r="L2492" s="9"/>
      <c r="M2492" s="2">
        <v>0</v>
      </c>
      <c r="N2492" s="9"/>
      <c r="O2492" s="2">
        <v>0</v>
      </c>
      <c r="P2492" s="9"/>
      <c r="Q2492" s="2">
        <f t="shared" si="79"/>
        <v>0</v>
      </c>
    </row>
    <row r="2493" spans="1:19" ht="11.85" customHeight="1" x14ac:dyDescent="0.2">
      <c r="A2493" s="3" t="s">
        <v>1143</v>
      </c>
      <c r="C2493" s="2">
        <v>3134851.37</v>
      </c>
      <c r="E2493" s="2">
        <v>3678638.16</v>
      </c>
      <c r="G2493" s="2">
        <v>3703096.6</v>
      </c>
      <c r="I2493" s="2">
        <v>3800000</v>
      </c>
      <c r="K2493" s="2">
        <v>3800000</v>
      </c>
      <c r="L2493" s="9"/>
      <c r="M2493" s="2">
        <v>3800000</v>
      </c>
      <c r="N2493" s="9"/>
      <c r="O2493" s="2">
        <v>0</v>
      </c>
      <c r="P2493" s="9"/>
      <c r="Q2493" s="2">
        <f t="shared" si="79"/>
        <v>3800000</v>
      </c>
    </row>
    <row r="2494" spans="1:19" ht="11.85" customHeight="1" x14ac:dyDescent="0.2">
      <c r="A2494" s="3" t="s">
        <v>1144</v>
      </c>
      <c r="C2494" s="2">
        <v>226445.93</v>
      </c>
      <c r="E2494" s="2">
        <v>229687.55</v>
      </c>
      <c r="G2494" s="2">
        <v>210093.29</v>
      </c>
      <c r="I2494" s="2">
        <v>220000</v>
      </c>
      <c r="K2494" s="2">
        <v>220000</v>
      </c>
      <c r="L2494" s="9"/>
      <c r="M2494" s="2">
        <v>220000</v>
      </c>
      <c r="N2494" s="9"/>
      <c r="O2494" s="2">
        <v>0</v>
      </c>
      <c r="P2494" s="9"/>
      <c r="Q2494" s="2">
        <f t="shared" si="79"/>
        <v>220000</v>
      </c>
    </row>
    <row r="2495" spans="1:19" ht="11.85" customHeight="1" x14ac:dyDescent="0.2">
      <c r="A2495" s="3" t="s">
        <v>1145</v>
      </c>
      <c r="C2495" s="2">
        <v>16677.310000000001</v>
      </c>
      <c r="E2495" s="2">
        <v>17215.849999999999</v>
      </c>
      <c r="G2495" s="2">
        <v>18009.68</v>
      </c>
      <c r="I2495" s="2">
        <v>16600</v>
      </c>
      <c r="K2495" s="2">
        <v>16600</v>
      </c>
      <c r="L2495" s="9"/>
      <c r="M2495" s="2">
        <v>17000</v>
      </c>
      <c r="N2495" s="9"/>
      <c r="O2495" s="2">
        <v>0</v>
      </c>
      <c r="P2495" s="9"/>
      <c r="Q2495" s="2">
        <f t="shared" si="79"/>
        <v>17000</v>
      </c>
    </row>
    <row r="2496" spans="1:19" ht="11.85" customHeight="1" x14ac:dyDescent="0.2">
      <c r="A2496" s="3" t="s">
        <v>1146</v>
      </c>
      <c r="C2496" s="12">
        <v>0</v>
      </c>
      <c r="E2496" s="12">
        <v>0</v>
      </c>
      <c r="G2496" s="12">
        <v>0</v>
      </c>
      <c r="I2496" s="12">
        <v>0</v>
      </c>
      <c r="K2496" s="12">
        <v>0</v>
      </c>
      <c r="L2496" s="9"/>
      <c r="M2496" s="12">
        <v>0</v>
      </c>
      <c r="N2496" s="9"/>
      <c r="O2496" s="12">
        <v>0</v>
      </c>
      <c r="P2496" s="9"/>
      <c r="Q2496" s="12">
        <f t="shared" si="79"/>
        <v>0</v>
      </c>
    </row>
    <row r="2497" spans="1:21" ht="11.85" customHeight="1" x14ac:dyDescent="0.2">
      <c r="A2497" s="3" t="s">
        <v>1147</v>
      </c>
      <c r="C2497" s="2">
        <f>SUM(C2490:C2496)</f>
        <v>7061827.9999999991</v>
      </c>
      <c r="E2497" s="2">
        <f>SUM(E2490:E2496)</f>
        <v>7986680.2599999998</v>
      </c>
      <c r="G2497" s="2">
        <f>SUM(G2490:G2496)</f>
        <v>7833350.9199999999</v>
      </c>
      <c r="I2497" s="2">
        <f>SUM(I2490:I2496)</f>
        <v>7836600</v>
      </c>
      <c r="K2497" s="2">
        <f>SUM(K2490:K2496)</f>
        <v>7836600</v>
      </c>
      <c r="L2497" s="9"/>
      <c r="M2497" s="2">
        <f>SUM(M2490:M2496)</f>
        <v>7837000</v>
      </c>
      <c r="N2497" s="9"/>
      <c r="O2497" s="2">
        <f>SUM(O2490:O2496)</f>
        <v>0</v>
      </c>
      <c r="P2497" s="9"/>
      <c r="Q2497" s="2">
        <f>SUM(Q2490:Q2496)</f>
        <v>7837000</v>
      </c>
      <c r="T2497" s="14"/>
    </row>
    <row r="2498" spans="1:21" ht="11.85" customHeight="1" x14ac:dyDescent="0.2">
      <c r="L2498" s="9"/>
      <c r="N2498" s="9"/>
      <c r="P2498" s="9"/>
    </row>
    <row r="2499" spans="1:21" ht="11.85" customHeight="1" x14ac:dyDescent="0.2">
      <c r="A2499" s="10" t="s">
        <v>1148</v>
      </c>
      <c r="L2499" s="9"/>
      <c r="N2499" s="9"/>
      <c r="P2499" s="9"/>
    </row>
    <row r="2500" spans="1:21" ht="11.85" hidden="1" customHeight="1" x14ac:dyDescent="0.2">
      <c r="A2500" s="3" t="s">
        <v>1149</v>
      </c>
      <c r="C2500" s="2">
        <v>0</v>
      </c>
      <c r="E2500" s="2">
        <v>0</v>
      </c>
      <c r="G2500" s="2">
        <v>0</v>
      </c>
      <c r="I2500" s="2">
        <v>0</v>
      </c>
      <c r="K2500" s="2">
        <v>0</v>
      </c>
      <c r="L2500" s="9"/>
      <c r="M2500" s="2">
        <v>0</v>
      </c>
      <c r="N2500" s="9"/>
      <c r="O2500" s="2">
        <v>0</v>
      </c>
      <c r="P2500" s="9"/>
      <c r="Q2500" s="2">
        <v>0</v>
      </c>
    </row>
    <row r="2501" spans="1:21" ht="11.85" customHeight="1" x14ac:dyDescent="0.2">
      <c r="A2501" s="3" t="s">
        <v>1150</v>
      </c>
      <c r="C2501" s="2">
        <v>0</v>
      </c>
      <c r="E2501" s="2">
        <v>0</v>
      </c>
      <c r="G2501" s="2">
        <v>0</v>
      </c>
      <c r="I2501" s="2">
        <v>0</v>
      </c>
      <c r="K2501" s="2">
        <v>0</v>
      </c>
      <c r="L2501" s="9"/>
      <c r="M2501" s="2">
        <v>0</v>
      </c>
      <c r="N2501" s="9"/>
      <c r="O2501" s="2">
        <v>0</v>
      </c>
      <c r="P2501" s="9"/>
      <c r="Q2501" s="2">
        <v>0</v>
      </c>
    </row>
    <row r="2502" spans="1:21" ht="11.85" customHeight="1" x14ac:dyDescent="0.2">
      <c r="A2502" s="3" t="s">
        <v>1151</v>
      </c>
      <c r="C2502" s="2">
        <v>5542.89</v>
      </c>
      <c r="E2502" s="2">
        <v>3865.35</v>
      </c>
      <c r="G2502" s="2">
        <v>24863.34</v>
      </c>
      <c r="I2502" s="2">
        <v>0</v>
      </c>
      <c r="K2502" s="2">
        <v>0</v>
      </c>
      <c r="L2502" s="9"/>
      <c r="M2502" s="2">
        <v>3000</v>
      </c>
      <c r="N2502" s="9"/>
      <c r="O2502" s="2">
        <v>0</v>
      </c>
      <c r="P2502" s="9"/>
      <c r="Q2502" s="2">
        <f t="shared" ref="Q2502:Q2508" si="80">M2502+O2502</f>
        <v>3000</v>
      </c>
    </row>
    <row r="2503" spans="1:21" ht="11.85" customHeight="1" x14ac:dyDescent="0.2">
      <c r="A2503" s="3" t="s">
        <v>1152</v>
      </c>
      <c r="C2503" s="2">
        <v>37410</v>
      </c>
      <c r="E2503" s="2">
        <v>40410</v>
      </c>
      <c r="G2503" s="2">
        <v>38410</v>
      </c>
      <c r="I2503" s="2">
        <v>40000</v>
      </c>
      <c r="K2503" s="2">
        <v>40000</v>
      </c>
      <c r="L2503" s="9"/>
      <c r="M2503" s="2">
        <v>38000</v>
      </c>
      <c r="N2503" s="9"/>
      <c r="O2503" s="2">
        <v>0</v>
      </c>
      <c r="P2503" s="9"/>
      <c r="Q2503" s="2">
        <f t="shared" si="80"/>
        <v>38000</v>
      </c>
    </row>
    <row r="2504" spans="1:21" ht="11.85" customHeight="1" x14ac:dyDescent="0.2">
      <c r="A2504" s="3" t="s">
        <v>1153</v>
      </c>
      <c r="C2504" s="2">
        <v>4071.67</v>
      </c>
      <c r="E2504" s="2">
        <v>3086.07</v>
      </c>
      <c r="G2504" s="2">
        <v>1850.34</v>
      </c>
      <c r="I2504" s="2">
        <v>0</v>
      </c>
      <c r="K2504" s="2">
        <v>0</v>
      </c>
      <c r="L2504" s="9"/>
      <c r="M2504" s="2">
        <v>0</v>
      </c>
      <c r="N2504" s="9"/>
      <c r="O2504" s="2">
        <v>0</v>
      </c>
      <c r="P2504" s="9"/>
      <c r="Q2504" s="2">
        <f t="shared" si="80"/>
        <v>0</v>
      </c>
    </row>
    <row r="2505" spans="1:21" ht="11.85" customHeight="1" x14ac:dyDescent="0.2">
      <c r="A2505" s="3" t="s">
        <v>1154</v>
      </c>
      <c r="C2505" s="2">
        <v>0</v>
      </c>
      <c r="E2505" s="2">
        <v>0</v>
      </c>
      <c r="G2505" s="2">
        <v>0</v>
      </c>
      <c r="I2505" s="2">
        <v>0</v>
      </c>
      <c r="K2505" s="2">
        <v>0</v>
      </c>
      <c r="L2505" s="9"/>
      <c r="M2505" s="2">
        <v>0</v>
      </c>
      <c r="N2505" s="9"/>
      <c r="O2505" s="2">
        <v>0</v>
      </c>
      <c r="P2505" s="9"/>
      <c r="Q2505" s="2">
        <f t="shared" si="80"/>
        <v>0</v>
      </c>
    </row>
    <row r="2506" spans="1:21" ht="11.85" customHeight="1" x14ac:dyDescent="0.2">
      <c r="A2506" s="3" t="s">
        <v>1155</v>
      </c>
      <c r="C2506" s="2">
        <v>0</v>
      </c>
      <c r="E2506" s="2">
        <v>0</v>
      </c>
      <c r="G2506" s="2">
        <v>126.76</v>
      </c>
      <c r="I2506" s="2">
        <v>0</v>
      </c>
      <c r="K2506" s="2">
        <v>0</v>
      </c>
      <c r="L2506" s="9"/>
      <c r="M2506" s="2">
        <v>0</v>
      </c>
      <c r="N2506" s="9"/>
      <c r="O2506" s="2">
        <v>0</v>
      </c>
      <c r="P2506" s="9"/>
      <c r="Q2506" s="2">
        <f t="shared" si="80"/>
        <v>0</v>
      </c>
    </row>
    <row r="2507" spans="1:21" ht="11.85" customHeight="1" x14ac:dyDescent="0.2">
      <c r="A2507" s="3" t="s">
        <v>1156</v>
      </c>
      <c r="C2507" s="2">
        <v>34079.4</v>
      </c>
      <c r="E2507" s="2">
        <v>39763.019999999997</v>
      </c>
      <c r="G2507" s="2">
        <v>238651.56</v>
      </c>
      <c r="I2507" s="2">
        <v>135000</v>
      </c>
      <c r="K2507" s="2">
        <f>135000+110000</f>
        <v>245000</v>
      </c>
      <c r="L2507" s="9"/>
      <c r="M2507" s="2">
        <v>166500</v>
      </c>
      <c r="N2507" s="9"/>
      <c r="O2507" s="2">
        <v>0</v>
      </c>
      <c r="P2507" s="9"/>
      <c r="Q2507" s="2">
        <f t="shared" si="80"/>
        <v>166500</v>
      </c>
    </row>
    <row r="2508" spans="1:21" ht="11.85" customHeight="1" x14ac:dyDescent="0.2">
      <c r="A2508" s="3" t="s">
        <v>1157</v>
      </c>
      <c r="C2508" s="12">
        <v>26400</v>
      </c>
      <c r="E2508" s="12">
        <v>0</v>
      </c>
      <c r="G2508" s="12">
        <v>0</v>
      </c>
      <c r="I2508" s="12">
        <v>0</v>
      </c>
      <c r="K2508" s="12">
        <v>0</v>
      </c>
      <c r="L2508" s="9"/>
      <c r="M2508" s="12">
        <v>0</v>
      </c>
      <c r="N2508" s="9"/>
      <c r="O2508" s="12">
        <v>0</v>
      </c>
      <c r="P2508" s="9"/>
      <c r="Q2508" s="12">
        <f t="shared" si="80"/>
        <v>0</v>
      </c>
    </row>
    <row r="2509" spans="1:21" ht="11.85" customHeight="1" x14ac:dyDescent="0.2">
      <c r="A2509" s="3" t="s">
        <v>1158</v>
      </c>
      <c r="C2509" s="2">
        <f>SUM(C2500:C2508)</f>
        <v>107503.95999999999</v>
      </c>
      <c r="E2509" s="2">
        <f>SUM(E2500:E2508)</f>
        <v>87124.44</v>
      </c>
      <c r="G2509" s="2">
        <f>SUM(G2500:G2508)</f>
        <v>303902</v>
      </c>
      <c r="I2509" s="2">
        <f>SUM(I2500:I2508)</f>
        <v>175000</v>
      </c>
      <c r="K2509" s="2">
        <f>SUM(K2500:K2508)</f>
        <v>285000</v>
      </c>
      <c r="L2509" s="9"/>
      <c r="M2509" s="2">
        <f>SUM(M2500:M2508)</f>
        <v>207500</v>
      </c>
      <c r="N2509" s="9"/>
      <c r="O2509" s="2">
        <f>SUM(O2500:O2508)</f>
        <v>0</v>
      </c>
      <c r="P2509" s="9"/>
      <c r="Q2509" s="2">
        <f>SUM(Q2500:Q2508)</f>
        <v>207500</v>
      </c>
      <c r="R2509" s="9"/>
      <c r="U2509" s="9"/>
    </row>
    <row r="2510" spans="1:21" ht="11.85" customHeight="1" x14ac:dyDescent="0.2">
      <c r="L2510" s="9"/>
      <c r="N2510" s="9"/>
      <c r="P2510" s="9"/>
    </row>
    <row r="2511" spans="1:21" ht="11.85" hidden="1" customHeight="1" x14ac:dyDescent="0.2">
      <c r="A2511" s="10" t="s">
        <v>1159</v>
      </c>
      <c r="L2511" s="9"/>
      <c r="N2511" s="9"/>
      <c r="P2511" s="9"/>
    </row>
    <row r="2512" spans="1:21" ht="11.85" hidden="1" customHeight="1" x14ac:dyDescent="0.2">
      <c r="A2512" s="3" t="s">
        <v>1160</v>
      </c>
      <c r="C2512" s="2">
        <v>0</v>
      </c>
      <c r="E2512" s="2">
        <v>0</v>
      </c>
      <c r="G2512" s="2">
        <v>0</v>
      </c>
      <c r="I2512" s="2">
        <v>0</v>
      </c>
      <c r="K2512" s="2">
        <v>0</v>
      </c>
      <c r="L2512" s="9"/>
      <c r="M2512" s="2">
        <v>0</v>
      </c>
      <c r="N2512" s="9"/>
      <c r="O2512" s="2">
        <v>0</v>
      </c>
      <c r="P2512" s="9"/>
      <c r="Q2512" s="2">
        <f>M2512+O2512</f>
        <v>0</v>
      </c>
    </row>
    <row r="2513" spans="1:18" ht="11.85" hidden="1" customHeight="1" x14ac:dyDescent="0.2">
      <c r="A2513" s="3" t="s">
        <v>1161</v>
      </c>
      <c r="C2513" s="2">
        <v>0</v>
      </c>
      <c r="E2513" s="2">
        <v>0</v>
      </c>
      <c r="G2513" s="2">
        <v>0</v>
      </c>
      <c r="I2513" s="2">
        <v>0</v>
      </c>
      <c r="K2513" s="2">
        <v>0</v>
      </c>
      <c r="L2513" s="9"/>
      <c r="M2513" s="2">
        <v>0</v>
      </c>
      <c r="N2513" s="9"/>
      <c r="O2513" s="2">
        <v>0</v>
      </c>
      <c r="P2513" s="9"/>
      <c r="Q2513" s="2">
        <f>M2513+O2513</f>
        <v>0</v>
      </c>
    </row>
    <row r="2514" spans="1:18" ht="11.85" hidden="1" customHeight="1" x14ac:dyDescent="0.2">
      <c r="A2514" s="3" t="s">
        <v>1162</v>
      </c>
      <c r="C2514" s="2">
        <v>0</v>
      </c>
      <c r="E2514" s="2">
        <v>0</v>
      </c>
      <c r="G2514" s="2">
        <v>0</v>
      </c>
      <c r="I2514" s="2">
        <v>0</v>
      </c>
      <c r="K2514" s="2">
        <v>0</v>
      </c>
      <c r="L2514" s="9"/>
      <c r="M2514" s="2">
        <v>0</v>
      </c>
      <c r="N2514" s="9"/>
      <c r="O2514" s="2">
        <v>0</v>
      </c>
      <c r="P2514" s="9"/>
      <c r="Q2514" s="2">
        <f>M2514+O2514</f>
        <v>0</v>
      </c>
    </row>
    <row r="2515" spans="1:18" ht="11.85" hidden="1" customHeight="1" x14ac:dyDescent="0.2">
      <c r="A2515" s="3" t="s">
        <v>1163</v>
      </c>
      <c r="C2515" s="12">
        <v>0</v>
      </c>
      <c r="E2515" s="12">
        <v>0</v>
      </c>
      <c r="G2515" s="12">
        <v>0</v>
      </c>
      <c r="I2515" s="12">
        <v>0</v>
      </c>
      <c r="K2515" s="12">
        <v>0</v>
      </c>
      <c r="L2515" s="9"/>
      <c r="M2515" s="12">
        <v>0</v>
      </c>
      <c r="N2515" s="9"/>
      <c r="O2515" s="12">
        <v>0</v>
      </c>
      <c r="P2515" s="9"/>
      <c r="Q2515" s="12">
        <f>M2515+O2515</f>
        <v>0</v>
      </c>
    </row>
    <row r="2516" spans="1:18" ht="11.85" hidden="1" customHeight="1" x14ac:dyDescent="0.2">
      <c r="A2516" s="3" t="s">
        <v>1164</v>
      </c>
      <c r="C2516" s="2">
        <f>SUM(C2512:C2515)</f>
        <v>0</v>
      </c>
      <c r="E2516" s="2">
        <f>SUM(E2512:E2515)</f>
        <v>0</v>
      </c>
      <c r="G2516" s="2">
        <f>SUM(G2512:G2515)</f>
        <v>0</v>
      </c>
      <c r="I2516" s="2">
        <f>SUM(I2512:I2515)</f>
        <v>0</v>
      </c>
      <c r="K2516" s="2">
        <f>SUM(K2512:K2515)</f>
        <v>0</v>
      </c>
      <c r="L2516" s="9"/>
      <c r="M2516" s="2">
        <f>SUM(M2512:M2515)</f>
        <v>0</v>
      </c>
      <c r="N2516" s="9"/>
      <c r="O2516" s="2">
        <f>SUM(O2512:O2515)</f>
        <v>0</v>
      </c>
      <c r="P2516" s="9"/>
      <c r="Q2516" s="2">
        <f>SUM(Q2512:Q2515)</f>
        <v>0</v>
      </c>
      <c r="R2516" s="9"/>
    </row>
    <row r="2517" spans="1:18" ht="11.85" hidden="1" customHeight="1" x14ac:dyDescent="0.2">
      <c r="L2517" s="9"/>
      <c r="N2517" s="9"/>
      <c r="P2517" s="9"/>
    </row>
    <row r="2518" spans="1:18" ht="11.85" hidden="1" customHeight="1" x14ac:dyDescent="0.2">
      <c r="A2518" s="10" t="s">
        <v>1165</v>
      </c>
      <c r="L2518" s="9"/>
      <c r="N2518" s="9"/>
      <c r="P2518" s="9"/>
    </row>
    <row r="2519" spans="1:18" ht="11.85" hidden="1" customHeight="1" x14ac:dyDescent="0.2">
      <c r="A2519" s="3" t="s">
        <v>1166</v>
      </c>
      <c r="C2519" s="2">
        <v>0</v>
      </c>
      <c r="E2519" s="2">
        <v>0</v>
      </c>
      <c r="G2519" s="2">
        <v>0</v>
      </c>
      <c r="I2519" s="2">
        <v>0</v>
      </c>
      <c r="K2519" s="2">
        <v>0</v>
      </c>
      <c r="L2519" s="9"/>
      <c r="M2519" s="2">
        <v>0</v>
      </c>
      <c r="N2519" s="9"/>
      <c r="O2519" s="2">
        <v>0</v>
      </c>
      <c r="P2519" s="9"/>
      <c r="Q2519" s="2">
        <f>M2519+O2519</f>
        <v>0</v>
      </c>
    </row>
    <row r="2520" spans="1:18" ht="11.85" hidden="1" customHeight="1" x14ac:dyDescent="0.2">
      <c r="A2520" s="3" t="s">
        <v>1167</v>
      </c>
      <c r="C2520" s="2">
        <v>0</v>
      </c>
      <c r="E2520" s="2">
        <v>0</v>
      </c>
      <c r="G2520" s="2">
        <v>0</v>
      </c>
      <c r="I2520" s="2">
        <v>0</v>
      </c>
      <c r="K2520" s="2">
        <v>0</v>
      </c>
      <c r="L2520" s="9"/>
      <c r="M2520" s="2">
        <v>0</v>
      </c>
      <c r="N2520" s="9"/>
      <c r="O2520" s="2">
        <v>0</v>
      </c>
      <c r="P2520" s="9"/>
      <c r="Q2520" s="2">
        <f>M2520+O2520</f>
        <v>0</v>
      </c>
    </row>
    <row r="2521" spans="1:18" ht="11.85" hidden="1" customHeight="1" x14ac:dyDescent="0.2">
      <c r="A2521" s="3" t="s">
        <v>1168</v>
      </c>
      <c r="C2521" s="2">
        <v>0</v>
      </c>
      <c r="E2521" s="2">
        <v>0</v>
      </c>
      <c r="G2521" s="2">
        <v>0</v>
      </c>
      <c r="I2521" s="2">
        <v>0</v>
      </c>
      <c r="K2521" s="2">
        <v>0</v>
      </c>
      <c r="L2521" s="9"/>
      <c r="M2521" s="2">
        <v>0</v>
      </c>
      <c r="N2521" s="9"/>
      <c r="O2521" s="2">
        <v>0</v>
      </c>
      <c r="P2521" s="9"/>
      <c r="Q2521" s="2">
        <f>M2521+O2521</f>
        <v>0</v>
      </c>
    </row>
    <row r="2522" spans="1:18" ht="11.85" hidden="1" customHeight="1" x14ac:dyDescent="0.2">
      <c r="A2522" s="3" t="s">
        <v>1169</v>
      </c>
      <c r="C2522" s="12">
        <v>0</v>
      </c>
      <c r="E2522" s="12">
        <v>0</v>
      </c>
      <c r="G2522" s="12">
        <v>0</v>
      </c>
      <c r="I2522" s="12">
        <v>0</v>
      </c>
      <c r="K2522" s="12">
        <v>0</v>
      </c>
      <c r="L2522" s="9"/>
      <c r="M2522" s="12">
        <v>0</v>
      </c>
      <c r="N2522" s="9"/>
      <c r="O2522" s="12">
        <v>0</v>
      </c>
      <c r="P2522" s="9"/>
      <c r="Q2522" s="12">
        <f>M2522+O2522</f>
        <v>0</v>
      </c>
    </row>
    <row r="2523" spans="1:18" ht="11.25" hidden="1" customHeight="1" x14ac:dyDescent="0.2">
      <c r="A2523" s="3" t="s">
        <v>1170</v>
      </c>
      <c r="C2523" s="2">
        <f>SUM(C2519:C2522)</f>
        <v>0</v>
      </c>
      <c r="E2523" s="2">
        <f>SUM(E2519:E2522)</f>
        <v>0</v>
      </c>
      <c r="G2523" s="2">
        <f>SUM(G2519:G2522)</f>
        <v>0</v>
      </c>
      <c r="I2523" s="2">
        <f>SUM(I2519:I2522)</f>
        <v>0</v>
      </c>
      <c r="K2523" s="2">
        <f>SUM(K2519:K2522)</f>
        <v>0</v>
      </c>
      <c r="L2523" s="9"/>
      <c r="M2523" s="2">
        <f>SUM(M2519:M2522)</f>
        <v>0</v>
      </c>
      <c r="N2523" s="9"/>
      <c r="O2523" s="2">
        <f>SUM(O2519:O2522)</f>
        <v>0</v>
      </c>
      <c r="P2523" s="9"/>
      <c r="Q2523" s="2">
        <f>SUM(Q2519:Q2522)</f>
        <v>0</v>
      </c>
    </row>
    <row r="2524" spans="1:18" ht="11.25" hidden="1" customHeight="1" x14ac:dyDescent="0.2">
      <c r="L2524" s="9"/>
      <c r="N2524" s="9"/>
      <c r="P2524" s="9"/>
    </row>
    <row r="2525" spans="1:18" ht="11.85" hidden="1" customHeight="1" x14ac:dyDescent="0.2">
      <c r="A2525" s="10" t="s">
        <v>1171</v>
      </c>
      <c r="L2525" s="9"/>
      <c r="N2525" s="9"/>
      <c r="P2525" s="9"/>
    </row>
    <row r="2526" spans="1:18" ht="11.85" hidden="1" customHeight="1" x14ac:dyDescent="0.2">
      <c r="A2526" s="3" t="s">
        <v>1172</v>
      </c>
      <c r="C2526" s="2">
        <v>0</v>
      </c>
      <c r="E2526" s="2">
        <v>0</v>
      </c>
      <c r="G2526" s="2">
        <v>0</v>
      </c>
      <c r="I2526" s="2">
        <v>0</v>
      </c>
      <c r="K2526" s="2">
        <v>0</v>
      </c>
      <c r="L2526" s="9"/>
      <c r="M2526" s="2">
        <v>0</v>
      </c>
      <c r="N2526" s="9"/>
      <c r="O2526" s="2">
        <v>0</v>
      </c>
      <c r="P2526" s="9"/>
      <c r="Q2526" s="2">
        <f>M2526+O2526</f>
        <v>0</v>
      </c>
    </row>
    <row r="2527" spans="1:18" ht="11.85" hidden="1" customHeight="1" x14ac:dyDescent="0.2">
      <c r="A2527" s="3" t="s">
        <v>1173</v>
      </c>
      <c r="C2527" s="12">
        <v>0</v>
      </c>
      <c r="E2527" s="12">
        <v>0</v>
      </c>
      <c r="G2527" s="12">
        <v>0</v>
      </c>
      <c r="I2527" s="12">
        <v>0</v>
      </c>
      <c r="K2527" s="12">
        <v>0</v>
      </c>
      <c r="L2527" s="9"/>
      <c r="M2527" s="12">
        <v>0</v>
      </c>
      <c r="N2527" s="9"/>
      <c r="O2527" s="12">
        <v>0</v>
      </c>
      <c r="P2527" s="9"/>
      <c r="Q2527" s="12">
        <f>M2527+O2527</f>
        <v>0</v>
      </c>
    </row>
    <row r="2528" spans="1:18" ht="11.85" hidden="1" customHeight="1" x14ac:dyDescent="0.2">
      <c r="A2528" s="3" t="s">
        <v>1174</v>
      </c>
      <c r="C2528" s="2">
        <f>SUM(C2526:C2527)</f>
        <v>0</v>
      </c>
      <c r="E2528" s="2">
        <f>SUM(E2526:E2527)</f>
        <v>0</v>
      </c>
      <c r="G2528" s="2">
        <f>SUM(G2526:G2527)</f>
        <v>0</v>
      </c>
      <c r="I2528" s="2">
        <f>SUM(I2526:I2527)</f>
        <v>0</v>
      </c>
      <c r="K2528" s="2">
        <f>SUM(K2526:K2527)</f>
        <v>0</v>
      </c>
      <c r="L2528" s="9"/>
      <c r="M2528" s="2">
        <f>SUM(M2526:M2527)</f>
        <v>0</v>
      </c>
      <c r="N2528" s="9"/>
      <c r="O2528" s="2">
        <f>SUM(O2526:O2527)</f>
        <v>0</v>
      </c>
      <c r="P2528" s="9"/>
      <c r="Q2528" s="2">
        <f>SUM(Q2526:Q2527)</f>
        <v>0</v>
      </c>
    </row>
    <row r="2529" spans="1:21" ht="11.85" hidden="1" customHeight="1" x14ac:dyDescent="0.2"/>
    <row r="2530" spans="1:21" ht="11.85" customHeight="1" x14ac:dyDescent="0.2">
      <c r="A2530" s="10" t="s">
        <v>244</v>
      </c>
    </row>
    <row r="2531" spans="1:21" ht="11.85" customHeight="1" x14ac:dyDescent="0.2">
      <c r="A2531" s="3" t="s">
        <v>1175</v>
      </c>
      <c r="C2531" s="12">
        <v>0</v>
      </c>
      <c r="E2531" s="12">
        <v>0</v>
      </c>
      <c r="G2531" s="12">
        <v>407470.96</v>
      </c>
      <c r="I2531" s="12">
        <v>0</v>
      </c>
      <c r="K2531" s="12">
        <v>0</v>
      </c>
      <c r="L2531" s="9"/>
      <c r="M2531" s="12">
        <v>225000</v>
      </c>
      <c r="N2531" s="9"/>
      <c r="O2531" s="12">
        <v>0</v>
      </c>
      <c r="P2531" s="9"/>
      <c r="Q2531" s="12">
        <f>M2531+O2531</f>
        <v>225000</v>
      </c>
    </row>
    <row r="2532" spans="1:21" ht="11.85" hidden="1" customHeight="1" x14ac:dyDescent="0.2">
      <c r="A2532" s="3" t="s">
        <v>1176</v>
      </c>
      <c r="C2532" s="2">
        <v>0</v>
      </c>
      <c r="E2532" s="2">
        <v>0</v>
      </c>
      <c r="G2532" s="2">
        <v>0</v>
      </c>
      <c r="I2532" s="2">
        <v>0</v>
      </c>
      <c r="K2532" s="2">
        <v>0</v>
      </c>
      <c r="L2532" s="9"/>
      <c r="M2532" s="2">
        <v>0</v>
      </c>
      <c r="N2532" s="9"/>
      <c r="O2532" s="2">
        <v>0</v>
      </c>
      <c r="P2532" s="9"/>
      <c r="Q2532" s="2">
        <f>M2532+O2532</f>
        <v>0</v>
      </c>
    </row>
    <row r="2533" spans="1:21" ht="11.85" hidden="1" customHeight="1" x14ac:dyDescent="0.2">
      <c r="A2533" s="3" t="s">
        <v>1177</v>
      </c>
      <c r="C2533" s="2">
        <v>0</v>
      </c>
      <c r="E2533" s="2">
        <v>0</v>
      </c>
      <c r="G2533" s="2">
        <v>0</v>
      </c>
      <c r="I2533" s="2">
        <v>0</v>
      </c>
      <c r="K2533" s="2">
        <v>0</v>
      </c>
      <c r="L2533" s="9"/>
      <c r="M2533" s="2">
        <v>0</v>
      </c>
      <c r="N2533" s="9"/>
      <c r="O2533" s="2">
        <v>0</v>
      </c>
      <c r="P2533" s="9"/>
      <c r="Q2533" s="2">
        <f>M2533+O2533</f>
        <v>0</v>
      </c>
    </row>
    <row r="2534" spans="1:21" ht="6" hidden="1" customHeight="1" x14ac:dyDescent="0.2">
      <c r="L2534" s="9"/>
      <c r="N2534" s="9"/>
      <c r="P2534" s="9"/>
    </row>
    <row r="2535" spans="1:21" ht="11.85" hidden="1" customHeight="1" x14ac:dyDescent="0.2">
      <c r="A2535" s="3" t="s">
        <v>1178</v>
      </c>
      <c r="C2535" s="2">
        <v>0</v>
      </c>
      <c r="E2535" s="2">
        <v>0</v>
      </c>
      <c r="G2535" s="2">
        <v>0</v>
      </c>
      <c r="I2535" s="2">
        <v>0</v>
      </c>
      <c r="K2535" s="2">
        <v>0</v>
      </c>
      <c r="L2535" s="9"/>
      <c r="M2535" s="2">
        <v>0</v>
      </c>
      <c r="N2535" s="9"/>
      <c r="O2535" s="2">
        <v>0</v>
      </c>
      <c r="P2535" s="9"/>
      <c r="Q2535" s="2">
        <f>M2535+O2535</f>
        <v>0</v>
      </c>
    </row>
    <row r="2536" spans="1:21" ht="11.85" hidden="1" customHeight="1" x14ac:dyDescent="0.2">
      <c r="A2536" s="3" t="s">
        <v>1179</v>
      </c>
      <c r="C2536" s="2">
        <v>0</v>
      </c>
      <c r="E2536" s="2">
        <v>0</v>
      </c>
      <c r="G2536" s="2">
        <v>0</v>
      </c>
      <c r="I2536" s="2">
        <v>0</v>
      </c>
      <c r="K2536" s="2">
        <v>0</v>
      </c>
      <c r="L2536" s="9"/>
      <c r="M2536" s="2">
        <v>0</v>
      </c>
      <c r="N2536" s="9"/>
      <c r="O2536" s="2">
        <v>0</v>
      </c>
      <c r="P2536" s="9"/>
      <c r="Q2536" s="2">
        <f>M2536+O2536</f>
        <v>0</v>
      </c>
    </row>
    <row r="2537" spans="1:21" ht="6" hidden="1" customHeight="1" x14ac:dyDescent="0.2">
      <c r="L2537" s="9"/>
      <c r="N2537" s="9"/>
      <c r="P2537" s="9"/>
    </row>
    <row r="2538" spans="1:21" ht="11.85" hidden="1" customHeight="1" x14ac:dyDescent="0.2">
      <c r="A2538" s="3" t="s">
        <v>1180</v>
      </c>
      <c r="C2538" s="12">
        <v>0</v>
      </c>
      <c r="E2538" s="12">
        <v>0</v>
      </c>
      <c r="G2538" s="12">
        <v>0</v>
      </c>
      <c r="I2538" s="12">
        <v>0</v>
      </c>
      <c r="K2538" s="12">
        <v>0</v>
      </c>
      <c r="L2538" s="9"/>
      <c r="M2538" s="12">
        <v>0</v>
      </c>
      <c r="N2538" s="9"/>
      <c r="O2538" s="12">
        <v>0</v>
      </c>
      <c r="P2538" s="9"/>
      <c r="Q2538" s="12">
        <f>M2538+O2538</f>
        <v>0</v>
      </c>
    </row>
    <row r="2539" spans="1:21" ht="11.85" customHeight="1" x14ac:dyDescent="0.2">
      <c r="A2539" s="3" t="s">
        <v>258</v>
      </c>
      <c r="C2539" s="2">
        <f>SUM(C2531:C2538)</f>
        <v>0</v>
      </c>
      <c r="E2539" s="2">
        <f>SUM(E2531:E2538)</f>
        <v>0</v>
      </c>
      <c r="G2539" s="2">
        <f>SUM(G2531:G2538)</f>
        <v>407470.96</v>
      </c>
      <c r="I2539" s="2">
        <f>SUM(I2531:I2538)</f>
        <v>0</v>
      </c>
      <c r="K2539" s="2">
        <f>SUM(K2531:K2538)</f>
        <v>0</v>
      </c>
      <c r="L2539" s="9"/>
      <c r="M2539" s="2">
        <f>SUM(M2531:M2538)</f>
        <v>225000</v>
      </c>
      <c r="N2539" s="9"/>
      <c r="O2539" s="2">
        <f>SUM(O2531:O2538)</f>
        <v>0</v>
      </c>
      <c r="P2539" s="9"/>
      <c r="Q2539" s="2">
        <f>SUM(Q2531:Q2536)</f>
        <v>225000</v>
      </c>
    </row>
    <row r="2540" spans="1:21" ht="11.85" customHeight="1" x14ac:dyDescent="0.2">
      <c r="L2540" s="9"/>
      <c r="N2540" s="9"/>
      <c r="P2540" s="9"/>
    </row>
    <row r="2541" spans="1:21" ht="11.85" customHeight="1" thickBot="1" x14ac:dyDescent="0.25">
      <c r="A2541" s="3" t="s">
        <v>270</v>
      </c>
      <c r="C2541" s="25">
        <f>+C2539+C2528+C2523+C2516+C2509+C2497</f>
        <v>7169331.959999999</v>
      </c>
      <c r="E2541" s="25">
        <f>+E2539+E2528+E2523+E2516+E2509+E2497</f>
        <v>8073804.7000000002</v>
      </c>
      <c r="G2541" s="25">
        <f>+G2539+G2528+G2523+G2516+G2509+G2497</f>
        <v>8544723.879999999</v>
      </c>
      <c r="I2541" s="25">
        <f>+I2539+I2528+I2523+I2516+I2509+I2497</f>
        <v>8011600</v>
      </c>
      <c r="K2541" s="25">
        <f>+K2539+K2528+K2523+K2516+K2509+K2497</f>
        <v>8121600</v>
      </c>
      <c r="L2541" s="9"/>
      <c r="M2541" s="36">
        <f>+M2539+M2528+M2523+M2516+M2509+M2497</f>
        <v>8269500</v>
      </c>
      <c r="N2541" s="9"/>
      <c r="O2541" s="36">
        <f>+O2539+O2528+O2523+O2516+O2509+O2497</f>
        <v>0</v>
      </c>
      <c r="P2541" s="9"/>
      <c r="Q2541" s="36">
        <f>+Q2539+Q2528+Q2523+Q2516+Q2509+Q2497</f>
        <v>8269500</v>
      </c>
      <c r="R2541" s="9"/>
      <c r="S2541" s="18"/>
      <c r="U2541" s="2"/>
    </row>
    <row r="2542" spans="1:21" ht="11.85" customHeight="1" thickTop="1" x14ac:dyDescent="0.2">
      <c r="L2542" s="9"/>
      <c r="N2542" s="9"/>
      <c r="P2542" s="9"/>
    </row>
    <row r="2543" spans="1:21" ht="11.85" customHeight="1" x14ac:dyDescent="0.2">
      <c r="A2543" s="3" t="s">
        <v>271</v>
      </c>
      <c r="C2543" s="2">
        <f>C2485+C2541</f>
        <v>11333352.139999999</v>
      </c>
      <c r="E2543" s="2">
        <f>E2485+E2541</f>
        <v>11621712.550000001</v>
      </c>
      <c r="G2543" s="2">
        <f>G2485+G2541</f>
        <v>13078202.729999999</v>
      </c>
      <c r="I2543" s="2">
        <f>I2485+I2541</f>
        <v>12794531.729999999</v>
      </c>
      <c r="K2543" s="2">
        <f>K2485+K2541</f>
        <v>12904531.729999999</v>
      </c>
      <c r="L2543" s="9"/>
      <c r="M2543" s="2">
        <f>M2485+M2541</f>
        <v>12269277.729999999</v>
      </c>
      <c r="N2543" s="9"/>
      <c r="O2543" s="2">
        <f>O2485+O2541</f>
        <v>0</v>
      </c>
      <c r="P2543" s="9"/>
      <c r="Q2543" s="2">
        <f>Q2485+Q2541</f>
        <v>12269277.729999999</v>
      </c>
      <c r="U2543" s="9"/>
    </row>
    <row r="2544" spans="1:21" ht="11.85" customHeight="1" x14ac:dyDescent="0.2">
      <c r="A2544" s="1"/>
      <c r="B2544" s="1"/>
      <c r="E2544" s="2" t="str">
        <f>$E$1</f>
        <v>CITY OF BRADY</v>
      </c>
    </row>
    <row r="2545" spans="1:20" ht="11.85" customHeight="1" x14ac:dyDescent="0.2">
      <c r="E2545" s="2" t="str">
        <f>$E$2</f>
        <v>BUDGET REPORT</v>
      </c>
    </row>
    <row r="2546" spans="1:20" ht="11.85" customHeight="1" x14ac:dyDescent="0.2">
      <c r="E2546" s="2" t="str">
        <f>$E$3</f>
        <v>FISCAL YEAR 2024 - 2025</v>
      </c>
    </row>
    <row r="2547" spans="1:20" ht="11.85" customHeight="1" x14ac:dyDescent="0.2">
      <c r="A2547" s="3" t="s">
        <v>1138</v>
      </c>
    </row>
    <row r="2548" spans="1:20" ht="11.85" customHeight="1" x14ac:dyDescent="0.2">
      <c r="A2548" s="3" t="s">
        <v>1181</v>
      </c>
    </row>
    <row r="2549" spans="1:20" ht="11.85" customHeight="1" x14ac:dyDescent="0.2">
      <c r="A2549" s="32" t="s">
        <v>674</v>
      </c>
      <c r="I2549" s="53" t="str">
        <f>$I$6</f>
        <v>(----- 2023-2024------)</v>
      </c>
      <c r="J2549" s="53"/>
      <c r="K2549" s="53"/>
      <c r="L2549" s="6"/>
      <c r="M2549" s="54" t="str">
        <f>$M$6</f>
        <v>2024-2025</v>
      </c>
      <c r="N2549" s="54"/>
      <c r="O2549" s="54"/>
      <c r="P2549" s="54"/>
      <c r="Q2549" s="54"/>
    </row>
    <row r="2550" spans="1:20" ht="11.85" customHeight="1" x14ac:dyDescent="0.2">
      <c r="C2550" s="5" t="str">
        <f>$C$7</f>
        <v>2020-2021</v>
      </c>
      <c r="D2550" s="5"/>
      <c r="E2550" s="5" t="str">
        <f>$E$7</f>
        <v>2021-2022</v>
      </c>
      <c r="F2550" s="5"/>
      <c r="G2550" s="5" t="str">
        <f>$G$7</f>
        <v>2022-2023</v>
      </c>
      <c r="H2550" s="5"/>
      <c r="I2550" s="5" t="s">
        <v>9</v>
      </c>
      <c r="J2550" s="5"/>
      <c r="K2550" s="5" t="str">
        <f>+$K$7</f>
        <v>PROJECTED</v>
      </c>
      <c r="L2550" s="6"/>
      <c r="M2550" s="5">
        <f>$M$7</f>
        <v>0</v>
      </c>
      <c r="N2550" s="6"/>
      <c r="O2550" s="5" t="str">
        <f>$O$7</f>
        <v>2024-2025</v>
      </c>
      <c r="P2550" s="6"/>
      <c r="Q2550" s="5" t="str">
        <f>$Q$7</f>
        <v>APPROVED</v>
      </c>
    </row>
    <row r="2551" spans="1:20" ht="11.85" customHeight="1" x14ac:dyDescent="0.2">
      <c r="A2551" s="7" t="s">
        <v>273</v>
      </c>
      <c r="C2551" s="8" t="s">
        <v>12</v>
      </c>
      <c r="D2551" s="5"/>
      <c r="E2551" s="8" t="s">
        <v>12</v>
      </c>
      <c r="F2551" s="5"/>
      <c r="G2551" s="8" t="s">
        <v>12</v>
      </c>
      <c r="H2551" s="5"/>
      <c r="I2551" s="8" t="s">
        <v>13</v>
      </c>
      <c r="J2551" s="5"/>
      <c r="K2551" s="8" t="s">
        <v>13</v>
      </c>
      <c r="L2551" s="6"/>
      <c r="M2551" s="8" t="str">
        <f>$M$8</f>
        <v>BASE</v>
      </c>
      <c r="N2551" s="6"/>
      <c r="O2551" s="8" t="str">
        <f>$O$8</f>
        <v>SUPPLEMENTAL</v>
      </c>
      <c r="P2551" s="6"/>
      <c r="Q2551" s="8" t="str">
        <f>$Q$8</f>
        <v>BUDGET</v>
      </c>
    </row>
    <row r="2552" spans="1:20" ht="11.85" customHeight="1" x14ac:dyDescent="0.2"/>
    <row r="2553" spans="1:20" ht="11.85" customHeight="1" x14ac:dyDescent="0.2">
      <c r="A2553" s="10" t="s">
        <v>286</v>
      </c>
    </row>
    <row r="2554" spans="1:20" ht="11.85" customHeight="1" x14ac:dyDescent="0.2">
      <c r="A2554" s="3" t="s">
        <v>1182</v>
      </c>
      <c r="C2554" s="2">
        <v>24.4</v>
      </c>
      <c r="E2554" s="2">
        <v>0</v>
      </c>
      <c r="G2554" s="2">
        <v>0</v>
      </c>
      <c r="I2554" s="2">
        <v>0</v>
      </c>
      <c r="K2554" s="2">
        <v>0</v>
      </c>
      <c r="L2554" s="9"/>
      <c r="M2554" s="2">
        <v>0</v>
      </c>
      <c r="N2554" s="9"/>
      <c r="O2554" s="2">
        <v>0</v>
      </c>
      <c r="P2554" s="9"/>
      <c r="Q2554" s="2">
        <f>M2554+O2554</f>
        <v>0</v>
      </c>
      <c r="T2554" s="11"/>
    </row>
    <row r="2555" spans="1:20" ht="11.85" customHeight="1" x14ac:dyDescent="0.2">
      <c r="A2555" s="3" t="s">
        <v>1183</v>
      </c>
      <c r="C2555" s="2">
        <v>13608.69</v>
      </c>
      <c r="E2555" s="2">
        <v>2399.63</v>
      </c>
      <c r="G2555" s="2">
        <v>0</v>
      </c>
      <c r="I2555" s="2">
        <v>0</v>
      </c>
      <c r="K2555" s="2">
        <v>0</v>
      </c>
      <c r="L2555" s="9"/>
      <c r="M2555" s="2">
        <v>0</v>
      </c>
      <c r="N2555" s="9"/>
      <c r="O2555" s="2">
        <v>0</v>
      </c>
      <c r="P2555" s="9"/>
      <c r="Q2555" s="2">
        <f>M2555+O2555</f>
        <v>0</v>
      </c>
      <c r="T2555" s="11"/>
    </row>
    <row r="2556" spans="1:20" ht="11.85" customHeight="1" x14ac:dyDescent="0.2">
      <c r="A2556" s="3" t="s">
        <v>1184</v>
      </c>
      <c r="C2556" s="12">
        <v>0</v>
      </c>
      <c r="E2556" s="12">
        <v>0</v>
      </c>
      <c r="G2556" s="12">
        <v>0</v>
      </c>
      <c r="I2556" s="12">
        <v>0</v>
      </c>
      <c r="K2556" s="12">
        <v>0</v>
      </c>
      <c r="L2556" s="9"/>
      <c r="M2556" s="12">
        <v>0</v>
      </c>
      <c r="N2556" s="9"/>
      <c r="O2556" s="12">
        <v>0</v>
      </c>
      <c r="P2556" s="9"/>
      <c r="Q2556" s="12">
        <f>M2556+O2556</f>
        <v>0</v>
      </c>
      <c r="T2556" s="11"/>
    </row>
    <row r="2557" spans="1:20" ht="11.85" customHeight="1" x14ac:dyDescent="0.2">
      <c r="A2557" s="3" t="s">
        <v>304</v>
      </c>
      <c r="C2557" s="2">
        <f>SUM(C2554:C2556)</f>
        <v>13633.09</v>
      </c>
      <c r="E2557" s="2">
        <f>SUM(E2554:E2556)</f>
        <v>2399.63</v>
      </c>
      <c r="G2557" s="2">
        <f>SUM(G2554:G2556)</f>
        <v>0</v>
      </c>
      <c r="I2557" s="2">
        <f>SUM(I2554:I2556)</f>
        <v>0</v>
      </c>
      <c r="K2557" s="2">
        <f>SUM(K2554:K2556)</f>
        <v>0</v>
      </c>
      <c r="L2557" s="9"/>
      <c r="M2557" s="2">
        <f>SUM(M2554:M2556)</f>
        <v>0</v>
      </c>
      <c r="N2557" s="9"/>
      <c r="O2557" s="2">
        <f>SUM(O2554:O2556)</f>
        <v>0</v>
      </c>
      <c r="P2557" s="9"/>
      <c r="Q2557" s="2">
        <f>SUM(Q2554:Q2556)</f>
        <v>0</v>
      </c>
    </row>
    <row r="2558" spans="1:20" ht="11.85" customHeight="1" x14ac:dyDescent="0.2">
      <c r="L2558" s="9"/>
      <c r="N2558" s="9"/>
      <c r="P2558" s="9"/>
    </row>
    <row r="2559" spans="1:20" ht="11.85" customHeight="1" x14ac:dyDescent="0.2">
      <c r="A2559" s="10" t="s">
        <v>305</v>
      </c>
      <c r="L2559" s="9"/>
      <c r="N2559" s="9"/>
      <c r="P2559" s="9"/>
    </row>
    <row r="2560" spans="1:20" ht="11.85" customHeight="1" x14ac:dyDescent="0.2">
      <c r="A2560" s="3" t="s">
        <v>1185</v>
      </c>
      <c r="C2560" s="12">
        <v>0</v>
      </c>
      <c r="E2560" s="12">
        <v>0</v>
      </c>
      <c r="G2560" s="12">
        <v>0</v>
      </c>
      <c r="I2560" s="12">
        <v>0</v>
      </c>
      <c r="K2560" s="12">
        <v>0</v>
      </c>
      <c r="L2560" s="9"/>
      <c r="M2560" s="12">
        <v>0</v>
      </c>
      <c r="N2560" s="9"/>
      <c r="O2560" s="12">
        <v>0</v>
      </c>
      <c r="P2560" s="9"/>
      <c r="Q2560" s="12">
        <f>M2560+O2560</f>
        <v>0</v>
      </c>
      <c r="T2560" s="11"/>
    </row>
    <row r="2561" spans="1:20" ht="11.85" customHeight="1" x14ac:dyDescent="0.2">
      <c r="A2561" s="3" t="s">
        <v>328</v>
      </c>
      <c r="C2561" s="2">
        <f>SUM(C2560:C2560)</f>
        <v>0</v>
      </c>
      <c r="E2561" s="2">
        <f>SUM(E2560:E2560)</f>
        <v>0</v>
      </c>
      <c r="G2561" s="2">
        <f>SUM(G2560:G2560)</f>
        <v>0</v>
      </c>
      <c r="I2561" s="2">
        <f>SUM(I2560:I2560)</f>
        <v>0</v>
      </c>
      <c r="K2561" s="2">
        <f>SUM(K2560:K2560)</f>
        <v>0</v>
      </c>
      <c r="L2561" s="9"/>
      <c r="M2561" s="2">
        <f>SUM(M2560:M2560)</f>
        <v>0</v>
      </c>
      <c r="N2561" s="9"/>
      <c r="O2561" s="2">
        <f>SUM(O2560:O2560)</f>
        <v>0</v>
      </c>
      <c r="P2561" s="9"/>
      <c r="Q2561" s="2">
        <f>SUM(Q2560:Q2560)</f>
        <v>0</v>
      </c>
    </row>
    <row r="2562" spans="1:20" ht="11.85" customHeight="1" x14ac:dyDescent="0.2">
      <c r="L2562" s="9"/>
      <c r="N2562" s="9"/>
      <c r="P2562" s="9"/>
    </row>
    <row r="2563" spans="1:20" ht="11.85" customHeight="1" x14ac:dyDescent="0.2">
      <c r="A2563" s="3" t="s">
        <v>1186</v>
      </c>
      <c r="C2563" s="2">
        <f>C2557+C2561</f>
        <v>13633.09</v>
      </c>
      <c r="E2563" s="2">
        <f>E2557+E2561</f>
        <v>2399.63</v>
      </c>
      <c r="G2563" s="2">
        <f>G2557+G2561</f>
        <v>0</v>
      </c>
      <c r="I2563" s="2">
        <f>I2557+I2561</f>
        <v>0</v>
      </c>
      <c r="K2563" s="2">
        <f>K2557+K2561</f>
        <v>0</v>
      </c>
      <c r="L2563" s="9"/>
      <c r="M2563" s="2">
        <f>M2557+M2561</f>
        <v>0</v>
      </c>
      <c r="N2563" s="9"/>
      <c r="O2563" s="2">
        <f>O2557+O2561</f>
        <v>0</v>
      </c>
      <c r="P2563" s="9"/>
      <c r="Q2563" s="2">
        <f>Q2557+Q2561</f>
        <v>0</v>
      </c>
      <c r="T2563" s="11"/>
    </row>
    <row r="2564" spans="1:20" ht="11.85" customHeight="1" x14ac:dyDescent="0.2"/>
    <row r="2565" spans="1:20" ht="11.85" customHeight="1" x14ac:dyDescent="0.2"/>
    <row r="2566" spans="1:20" ht="11.85" customHeight="1" x14ac:dyDescent="0.2"/>
    <row r="2567" spans="1:20" ht="11.85" customHeight="1" x14ac:dyDescent="0.2"/>
    <row r="2568" spans="1:20" ht="11.85" customHeight="1" x14ac:dyDescent="0.2"/>
    <row r="2569" spans="1:20" ht="11.85" customHeight="1" x14ac:dyDescent="0.2"/>
    <row r="2570" spans="1:20" ht="11.85" customHeight="1" x14ac:dyDescent="0.2"/>
    <row r="2571" spans="1:20" ht="11.85" customHeight="1" x14ac:dyDescent="0.2"/>
    <row r="2572" spans="1:20" ht="11.85" customHeight="1" x14ac:dyDescent="0.2"/>
    <row r="2573" spans="1:20" ht="11.85" customHeight="1" x14ac:dyDescent="0.2"/>
    <row r="2574" spans="1:20" ht="11.85" customHeight="1" x14ac:dyDescent="0.2"/>
    <row r="2575" spans="1:20" ht="11.85" customHeight="1" x14ac:dyDescent="0.2"/>
    <row r="2576" spans="1:20" ht="11.85" customHeight="1" x14ac:dyDescent="0.2"/>
    <row r="2577" ht="11.85" customHeight="1" x14ac:dyDescent="0.2"/>
    <row r="2578" ht="11.85" customHeight="1" x14ac:dyDescent="0.2"/>
    <row r="2579" ht="11.85" customHeight="1" x14ac:dyDescent="0.2"/>
    <row r="2580" ht="11.85" customHeight="1" x14ac:dyDescent="0.2"/>
    <row r="2581" ht="11.85" customHeight="1" x14ac:dyDescent="0.2"/>
    <row r="2582" ht="11.85" customHeight="1" x14ac:dyDescent="0.2"/>
    <row r="2583" ht="11.85" customHeight="1" x14ac:dyDescent="0.2"/>
    <row r="2584" ht="11.85" customHeight="1" x14ac:dyDescent="0.2"/>
    <row r="2585" ht="11.85" customHeight="1" x14ac:dyDescent="0.2"/>
    <row r="2586" ht="11.85" customHeight="1" x14ac:dyDescent="0.2"/>
    <row r="2587" ht="11.85" customHeight="1" x14ac:dyDescent="0.2"/>
    <row r="2588" ht="11.85" customHeight="1" x14ac:dyDescent="0.2"/>
    <row r="2589" ht="11.85" customHeight="1" x14ac:dyDescent="0.2"/>
    <row r="2590" ht="11.85" customHeight="1" x14ac:dyDescent="0.2"/>
    <row r="2591" ht="11.85" customHeight="1" x14ac:dyDescent="0.2"/>
    <row r="2592" ht="11.85" customHeight="1" x14ac:dyDescent="0.2"/>
    <row r="2593" spans="1:5" ht="11.85" customHeight="1" x14ac:dyDescent="0.2"/>
    <row r="2594" spans="1:5" ht="11.85" customHeight="1" x14ac:dyDescent="0.2"/>
    <row r="2595" spans="1:5" ht="11.85" customHeight="1" x14ac:dyDescent="0.2"/>
    <row r="2596" spans="1:5" ht="11.85" customHeight="1" x14ac:dyDescent="0.2"/>
    <row r="2597" spans="1:5" ht="11.85" customHeight="1" x14ac:dyDescent="0.2"/>
    <row r="2598" spans="1:5" ht="11.85" customHeight="1" x14ac:dyDescent="0.2"/>
    <row r="2599" spans="1:5" ht="11.85" customHeight="1" x14ac:dyDescent="0.2"/>
    <row r="2600" spans="1:5" ht="11.85" customHeight="1" x14ac:dyDescent="0.2"/>
    <row r="2601" spans="1:5" ht="11.85" customHeight="1" x14ac:dyDescent="0.2"/>
    <row r="2602" spans="1:5" ht="11.85" customHeight="1" x14ac:dyDescent="0.2"/>
    <row r="2603" spans="1:5" ht="11.85" customHeight="1" x14ac:dyDescent="0.2"/>
    <row r="2604" spans="1:5" ht="11.85" customHeight="1" x14ac:dyDescent="0.2"/>
    <row r="2605" spans="1:5" ht="11.85" customHeight="1" x14ac:dyDescent="0.2"/>
    <row r="2606" spans="1:5" ht="11.85" customHeight="1" x14ac:dyDescent="0.2"/>
    <row r="2607" spans="1:5" ht="11.85" customHeight="1" x14ac:dyDescent="0.2">
      <c r="A2607" s="1"/>
      <c r="B2607" s="1"/>
      <c r="E2607" s="2" t="str">
        <f>$E$1</f>
        <v>CITY OF BRADY</v>
      </c>
    </row>
    <row r="2608" spans="1:5" ht="11.85" customHeight="1" x14ac:dyDescent="0.2">
      <c r="E2608" s="2" t="str">
        <f>$E$2</f>
        <v>BUDGET REPORT</v>
      </c>
    </row>
    <row r="2609" spans="1:20" ht="11.85" customHeight="1" x14ac:dyDescent="0.2">
      <c r="E2609" s="2" t="str">
        <f>$E$3</f>
        <v>FISCAL YEAR 2024 - 2025</v>
      </c>
    </row>
    <row r="2610" spans="1:20" ht="11.85" customHeight="1" x14ac:dyDescent="0.2">
      <c r="A2610" s="3" t="s">
        <v>1138</v>
      </c>
    </row>
    <row r="2611" spans="1:20" ht="11.85" customHeight="1" x14ac:dyDescent="0.2">
      <c r="A2611" s="3" t="s">
        <v>1187</v>
      </c>
    </row>
    <row r="2612" spans="1:20" ht="11.85" customHeight="1" x14ac:dyDescent="0.2">
      <c r="I2612" s="53" t="str">
        <f>$I$6</f>
        <v>(----- 2023-2024------)</v>
      </c>
      <c r="J2612" s="53"/>
      <c r="K2612" s="53"/>
      <c r="L2612" s="6"/>
      <c r="M2612" s="54" t="str">
        <f>$M$6</f>
        <v>2024-2025</v>
      </c>
      <c r="N2612" s="54"/>
      <c r="O2612" s="54"/>
      <c r="P2612" s="54"/>
      <c r="Q2612" s="54"/>
    </row>
    <row r="2613" spans="1:20" ht="11.85" customHeight="1" x14ac:dyDescent="0.2">
      <c r="C2613" s="5" t="str">
        <f>$C$7</f>
        <v>2020-2021</v>
      </c>
      <c r="D2613" s="5"/>
      <c r="E2613" s="5" t="str">
        <f>$E$7</f>
        <v>2021-2022</v>
      </c>
      <c r="F2613" s="5"/>
      <c r="G2613" s="5" t="str">
        <f>$G$7</f>
        <v>2022-2023</v>
      </c>
      <c r="H2613" s="5"/>
      <c r="I2613" s="5" t="s">
        <v>9</v>
      </c>
      <c r="J2613" s="5"/>
      <c r="K2613" s="5" t="str">
        <f>+$K$7</f>
        <v>PROJECTED</v>
      </c>
      <c r="L2613" s="6"/>
      <c r="M2613" s="5">
        <f>$M$7</f>
        <v>0</v>
      </c>
      <c r="N2613" s="6"/>
      <c r="O2613" s="5" t="str">
        <f>$O$7</f>
        <v>2024-2025</v>
      </c>
      <c r="P2613" s="6"/>
      <c r="Q2613" s="5" t="str">
        <f>$Q$7</f>
        <v>APPROVED</v>
      </c>
    </row>
    <row r="2614" spans="1:20" ht="11.85" customHeight="1" x14ac:dyDescent="0.2">
      <c r="A2614" s="7" t="s">
        <v>273</v>
      </c>
      <c r="C2614" s="8" t="s">
        <v>12</v>
      </c>
      <c r="D2614" s="5"/>
      <c r="E2614" s="8" t="s">
        <v>12</v>
      </c>
      <c r="F2614" s="5"/>
      <c r="G2614" s="8" t="s">
        <v>12</v>
      </c>
      <c r="H2614" s="5"/>
      <c r="I2614" s="8" t="s">
        <v>13</v>
      </c>
      <c r="J2614" s="5"/>
      <c r="K2614" s="8" t="s">
        <v>13</v>
      </c>
      <c r="L2614" s="6"/>
      <c r="M2614" s="8" t="str">
        <f>$M$8</f>
        <v>BASE</v>
      </c>
      <c r="N2614" s="6"/>
      <c r="O2614" s="8" t="str">
        <f>$O$8</f>
        <v>SUPPLEMENTAL</v>
      </c>
      <c r="P2614" s="6"/>
      <c r="Q2614" s="8" t="str">
        <f>$Q$8</f>
        <v>BUDGET</v>
      </c>
    </row>
    <row r="2615" spans="1:20" ht="11.85" customHeight="1" x14ac:dyDescent="0.2"/>
    <row r="2616" spans="1:20" ht="11.85" customHeight="1" x14ac:dyDescent="0.2">
      <c r="A2616" s="10" t="s">
        <v>274</v>
      </c>
    </row>
    <row r="2617" spans="1:20" ht="11.85" customHeight="1" x14ac:dyDescent="0.2">
      <c r="A2617" s="3" t="s">
        <v>1188</v>
      </c>
      <c r="C2617" s="2">
        <v>230963.96</v>
      </c>
      <c r="E2617" s="2">
        <v>198479.87</v>
      </c>
      <c r="G2617" s="2">
        <v>237661.34</v>
      </c>
      <c r="I2617" s="2">
        <v>312430</v>
      </c>
      <c r="K2617" s="2">
        <v>312430</v>
      </c>
      <c r="L2617" s="9"/>
      <c r="M2617" s="2">
        <v>332146</v>
      </c>
      <c r="N2617" s="9"/>
      <c r="O2617" s="2">
        <v>0</v>
      </c>
      <c r="P2617" s="9"/>
      <c r="Q2617" s="2">
        <f t="shared" ref="Q2617:Q2626" si="81">M2617+O2617</f>
        <v>332146</v>
      </c>
      <c r="R2617" s="13"/>
      <c r="T2617" s="11"/>
    </row>
    <row r="2618" spans="1:20" ht="11.85" customHeight="1" x14ac:dyDescent="0.2">
      <c r="A2618" s="3" t="s">
        <v>1189</v>
      </c>
      <c r="C2618" s="2">
        <v>7277.36</v>
      </c>
      <c r="E2618" s="2">
        <v>7068.42</v>
      </c>
      <c r="G2618" s="2">
        <v>4765.33</v>
      </c>
      <c r="I2618" s="2">
        <v>10000</v>
      </c>
      <c r="K2618" s="2">
        <v>10000</v>
      </c>
      <c r="L2618" s="9"/>
      <c r="M2618" s="2">
        <v>10000</v>
      </c>
      <c r="N2618" s="9"/>
      <c r="O2618" s="2">
        <v>0</v>
      </c>
      <c r="P2618" s="9"/>
      <c r="Q2618" s="2">
        <f t="shared" si="81"/>
        <v>10000</v>
      </c>
      <c r="T2618" s="11"/>
    </row>
    <row r="2619" spans="1:20" ht="11.85" customHeight="1" x14ac:dyDescent="0.2">
      <c r="A2619" s="3" t="s">
        <v>1190</v>
      </c>
      <c r="C2619" s="2">
        <v>0</v>
      </c>
      <c r="E2619" s="2">
        <v>0</v>
      </c>
      <c r="G2619" s="2">
        <v>0</v>
      </c>
      <c r="I2619" s="2">
        <v>0</v>
      </c>
      <c r="K2619" s="2">
        <v>0</v>
      </c>
      <c r="L2619" s="9"/>
      <c r="M2619" s="2">
        <v>0</v>
      </c>
      <c r="N2619" s="9"/>
      <c r="O2619" s="2">
        <v>0</v>
      </c>
      <c r="P2619" s="9"/>
      <c r="Q2619" s="2">
        <f t="shared" si="81"/>
        <v>0</v>
      </c>
      <c r="T2619" s="11"/>
    </row>
    <row r="2620" spans="1:20" ht="11.85" customHeight="1" x14ac:dyDescent="0.2">
      <c r="A2620" s="3" t="s">
        <v>1191</v>
      </c>
      <c r="C2620" s="2">
        <v>3710</v>
      </c>
      <c r="E2620" s="2">
        <v>3640</v>
      </c>
      <c r="G2620" s="2">
        <v>10840</v>
      </c>
      <c r="I2620" s="2">
        <v>10950</v>
      </c>
      <c r="K2620" s="2">
        <v>10950</v>
      </c>
      <c r="L2620" s="9"/>
      <c r="M2620" s="2">
        <v>10950</v>
      </c>
      <c r="N2620" s="9"/>
      <c r="O2620" s="2">
        <v>0</v>
      </c>
      <c r="P2620" s="9"/>
      <c r="Q2620" s="2">
        <f t="shared" si="81"/>
        <v>10950</v>
      </c>
      <c r="T2620" s="11"/>
    </row>
    <row r="2621" spans="1:20" ht="11.85" customHeight="1" x14ac:dyDescent="0.2">
      <c r="A2621" s="3" t="s">
        <v>1192</v>
      </c>
      <c r="C2621" s="2">
        <v>300</v>
      </c>
      <c r="E2621" s="2">
        <v>300</v>
      </c>
      <c r="G2621" s="2">
        <v>300</v>
      </c>
      <c r="I2621" s="2">
        <v>300</v>
      </c>
      <c r="K2621" s="2">
        <v>300</v>
      </c>
      <c r="L2621" s="9"/>
      <c r="M2621" s="2">
        <v>300</v>
      </c>
      <c r="N2621" s="9"/>
      <c r="O2621" s="2">
        <v>0</v>
      </c>
      <c r="P2621" s="9"/>
      <c r="Q2621" s="2">
        <f t="shared" si="81"/>
        <v>300</v>
      </c>
      <c r="T2621" s="11"/>
    </row>
    <row r="2622" spans="1:20" ht="11.85" customHeight="1" x14ac:dyDescent="0.2">
      <c r="A2622" s="3" t="s">
        <v>1193</v>
      </c>
      <c r="C2622" s="2">
        <v>38904.720000000001</v>
      </c>
      <c r="E2622" s="2">
        <v>28785.279999999999</v>
      </c>
      <c r="G2622" s="2">
        <v>38728.18</v>
      </c>
      <c r="I2622" s="2">
        <v>57300</v>
      </c>
      <c r="K2622" s="2">
        <v>57300</v>
      </c>
      <c r="L2622" s="9"/>
      <c r="M2622" s="2">
        <v>50707</v>
      </c>
      <c r="N2622" s="9"/>
      <c r="O2622" s="2">
        <v>0</v>
      </c>
      <c r="P2622" s="9"/>
      <c r="Q2622" s="2">
        <f t="shared" si="81"/>
        <v>50707</v>
      </c>
      <c r="T2622" s="11"/>
    </row>
    <row r="2623" spans="1:20" ht="11.85" customHeight="1" x14ac:dyDescent="0.2">
      <c r="A2623" s="3" t="s">
        <v>1194</v>
      </c>
      <c r="C2623" s="2">
        <v>24124.07</v>
      </c>
      <c r="E2623" s="2">
        <v>20173.02</v>
      </c>
      <c r="G2623" s="2">
        <v>24678.74</v>
      </c>
      <c r="I2623" s="2">
        <v>32106</v>
      </c>
      <c r="K2623" s="2">
        <v>32106</v>
      </c>
      <c r="L2623" s="9"/>
      <c r="M2623" s="2">
        <v>33231</v>
      </c>
      <c r="N2623" s="9"/>
      <c r="O2623" s="2">
        <v>0</v>
      </c>
      <c r="P2623" s="9"/>
      <c r="Q2623" s="2">
        <f t="shared" si="81"/>
        <v>33231</v>
      </c>
      <c r="T2623" s="11"/>
    </row>
    <row r="2624" spans="1:20" ht="11.85" customHeight="1" x14ac:dyDescent="0.2">
      <c r="A2624" s="3" t="s">
        <v>1195</v>
      </c>
      <c r="C2624" s="2">
        <v>3787.49</v>
      </c>
      <c r="E2624" s="2">
        <v>3467.06</v>
      </c>
      <c r="G2624" s="2">
        <v>5933.73</v>
      </c>
      <c r="I2624" s="2">
        <v>5056</v>
      </c>
      <c r="K2624" s="2">
        <v>5056</v>
      </c>
      <c r="L2624" s="9"/>
      <c r="M2624" s="2">
        <v>5612</v>
      </c>
      <c r="N2624" s="9"/>
      <c r="O2624" s="2">
        <v>0</v>
      </c>
      <c r="P2624" s="9"/>
      <c r="Q2624" s="2">
        <f t="shared" si="81"/>
        <v>5612</v>
      </c>
      <c r="T2624" s="11"/>
    </row>
    <row r="2625" spans="1:21" ht="11.85" customHeight="1" x14ac:dyDescent="0.2">
      <c r="A2625" s="3" t="s">
        <v>1196</v>
      </c>
      <c r="C2625" s="2">
        <v>1101.43</v>
      </c>
      <c r="E2625" s="2">
        <v>38.26</v>
      </c>
      <c r="G2625" s="2">
        <v>45</v>
      </c>
      <c r="I2625" s="2">
        <v>419</v>
      </c>
      <c r="K2625" s="2">
        <v>419</v>
      </c>
      <c r="L2625" s="9"/>
      <c r="M2625" s="2">
        <v>450</v>
      </c>
      <c r="N2625" s="9"/>
      <c r="O2625" s="2">
        <v>0</v>
      </c>
      <c r="P2625" s="9"/>
      <c r="Q2625" s="2">
        <f t="shared" si="81"/>
        <v>450</v>
      </c>
      <c r="T2625" s="11"/>
    </row>
    <row r="2626" spans="1:21" ht="11.85" customHeight="1" x14ac:dyDescent="0.2">
      <c r="A2626" s="3" t="s">
        <v>1197</v>
      </c>
      <c r="C2626" s="12">
        <v>17905.669999999998</v>
      </c>
      <c r="E2626" s="12">
        <v>16406.54</v>
      </c>
      <c r="G2626" s="12">
        <v>19264.89</v>
      </c>
      <c r="I2626" s="12">
        <v>25150</v>
      </c>
      <c r="K2626" s="12">
        <v>25150</v>
      </c>
      <c r="L2626" s="9"/>
      <c r="M2626" s="12">
        <v>26687</v>
      </c>
      <c r="N2626" s="9"/>
      <c r="O2626" s="12">
        <v>0</v>
      </c>
      <c r="P2626" s="9"/>
      <c r="Q2626" s="12">
        <f t="shared" si="81"/>
        <v>26687</v>
      </c>
      <c r="T2626" s="11"/>
    </row>
    <row r="2627" spans="1:21" ht="11.85" customHeight="1" x14ac:dyDescent="0.2">
      <c r="A2627" s="3" t="s">
        <v>285</v>
      </c>
      <c r="C2627" s="2">
        <f>SUM(C2617:C2626)</f>
        <v>328074.69999999995</v>
      </c>
      <c r="E2627" s="2">
        <f>SUM(E2617:E2626)</f>
        <v>278358.45</v>
      </c>
      <c r="G2627" s="2">
        <f>SUM(G2617:G2626)</f>
        <v>342217.20999999996</v>
      </c>
      <c r="I2627" s="2">
        <f>SUM(I2617:I2626)</f>
        <v>453711</v>
      </c>
      <c r="K2627" s="2">
        <f>SUM(K2617:K2626)</f>
        <v>453711</v>
      </c>
      <c r="L2627" s="9"/>
      <c r="M2627" s="2">
        <f>SUM(M2617:M2626)</f>
        <v>470083</v>
      </c>
      <c r="N2627" s="9"/>
      <c r="O2627" s="2">
        <f>SUM(O2617:O2626)</f>
        <v>0</v>
      </c>
      <c r="P2627" s="9"/>
      <c r="Q2627" s="2">
        <f>SUM(Q2617:Q2626)</f>
        <v>470083</v>
      </c>
      <c r="R2627" s="9"/>
      <c r="U2627" s="9"/>
    </row>
    <row r="2628" spans="1:21" ht="11.85" customHeight="1" x14ac:dyDescent="0.2">
      <c r="L2628" s="9"/>
      <c r="N2628" s="9"/>
      <c r="P2628" s="9"/>
    </row>
    <row r="2629" spans="1:21" ht="11.85" customHeight="1" x14ac:dyDescent="0.2">
      <c r="A2629" s="10" t="s">
        <v>286</v>
      </c>
      <c r="L2629" s="9"/>
      <c r="N2629" s="9"/>
      <c r="P2629" s="9"/>
    </row>
    <row r="2630" spans="1:21" ht="11.85" customHeight="1" x14ac:dyDescent="0.2">
      <c r="A2630" s="3" t="s">
        <v>1198</v>
      </c>
      <c r="C2630" s="2">
        <v>300</v>
      </c>
      <c r="E2630" s="2">
        <v>1763</v>
      </c>
      <c r="G2630" s="2">
        <v>300</v>
      </c>
      <c r="I2630" s="2">
        <v>2100</v>
      </c>
      <c r="K2630" s="2">
        <v>2100</v>
      </c>
      <c r="L2630" s="9"/>
      <c r="M2630" s="2">
        <v>2100</v>
      </c>
      <c r="N2630" s="9"/>
      <c r="O2630" s="2">
        <v>0</v>
      </c>
      <c r="P2630" s="9"/>
      <c r="Q2630" s="2">
        <f t="shared" ref="Q2630:Q2645" si="82">M2630+O2630</f>
        <v>2100</v>
      </c>
      <c r="T2630" s="11"/>
    </row>
    <row r="2631" spans="1:21" ht="11.85" customHeight="1" x14ac:dyDescent="0.2">
      <c r="A2631" s="3" t="s">
        <v>1199</v>
      </c>
      <c r="C2631" s="2">
        <v>485.21</v>
      </c>
      <c r="E2631" s="2">
        <v>488.44</v>
      </c>
      <c r="G2631" s="2">
        <v>884.5</v>
      </c>
      <c r="I2631" s="2">
        <v>1000</v>
      </c>
      <c r="K2631" s="2">
        <v>1000</v>
      </c>
      <c r="L2631" s="9"/>
      <c r="M2631" s="2">
        <v>1000</v>
      </c>
      <c r="N2631" s="9"/>
      <c r="O2631" s="2">
        <v>0</v>
      </c>
      <c r="P2631" s="9"/>
      <c r="Q2631" s="2">
        <f t="shared" si="82"/>
        <v>1000</v>
      </c>
      <c r="T2631" s="11"/>
    </row>
    <row r="2632" spans="1:21" ht="11.85" customHeight="1" x14ac:dyDescent="0.2">
      <c r="A2632" s="3" t="s">
        <v>1200</v>
      </c>
      <c r="C2632" s="2">
        <v>12814.24</v>
      </c>
      <c r="E2632" s="2">
        <v>12945.8</v>
      </c>
      <c r="G2632" s="2">
        <v>51424.07</v>
      </c>
      <c r="I2632" s="2">
        <v>210000</v>
      </c>
      <c r="K2632" s="2">
        <v>211546</v>
      </c>
      <c r="L2632" s="9"/>
      <c r="M2632" s="2">
        <v>125000</v>
      </c>
      <c r="N2632" s="9"/>
      <c r="O2632" s="2">
        <v>50000</v>
      </c>
      <c r="P2632" s="9"/>
      <c r="Q2632" s="2">
        <f t="shared" si="82"/>
        <v>175000</v>
      </c>
      <c r="T2632" s="11"/>
    </row>
    <row r="2633" spans="1:21" ht="11.85" customHeight="1" x14ac:dyDescent="0.2">
      <c r="A2633" s="3" t="s">
        <v>1201</v>
      </c>
      <c r="C2633" s="2">
        <v>2917.22</v>
      </c>
      <c r="E2633" s="2">
        <v>3063.08</v>
      </c>
      <c r="G2633" s="2">
        <v>3216.23</v>
      </c>
      <c r="I2633" s="2">
        <v>3400</v>
      </c>
      <c r="K2633" s="2">
        <v>3400</v>
      </c>
      <c r="L2633" s="9"/>
      <c r="M2633" s="2">
        <v>4000</v>
      </c>
      <c r="N2633" s="9"/>
      <c r="O2633" s="2">
        <v>0</v>
      </c>
      <c r="P2633" s="9"/>
      <c r="Q2633" s="2">
        <f t="shared" si="82"/>
        <v>4000</v>
      </c>
      <c r="T2633" s="11"/>
    </row>
    <row r="2634" spans="1:21" ht="11.85" customHeight="1" x14ac:dyDescent="0.2">
      <c r="A2634" s="3" t="s">
        <v>1202</v>
      </c>
      <c r="C2634" s="2">
        <v>11631.97</v>
      </c>
      <c r="E2634" s="2">
        <v>19803.2</v>
      </c>
      <c r="G2634" s="2">
        <v>22622.01</v>
      </c>
      <c r="I2634" s="2">
        <v>17000</v>
      </c>
      <c r="K2634" s="2">
        <v>17000</v>
      </c>
      <c r="L2634" s="9"/>
      <c r="M2634" s="2">
        <v>17400</v>
      </c>
      <c r="N2634" s="9"/>
      <c r="O2634" s="2">
        <v>0</v>
      </c>
      <c r="P2634" s="9"/>
      <c r="Q2634" s="2">
        <f t="shared" si="82"/>
        <v>17400</v>
      </c>
      <c r="R2634" s="28"/>
      <c r="T2634" s="11"/>
    </row>
    <row r="2635" spans="1:21" ht="11.85" customHeight="1" x14ac:dyDescent="0.2">
      <c r="A2635" s="3" t="s">
        <v>1203</v>
      </c>
      <c r="C2635" s="2">
        <v>15054.56</v>
      </c>
      <c r="E2635" s="2">
        <v>3300</v>
      </c>
      <c r="G2635" s="2">
        <v>0</v>
      </c>
      <c r="I2635" s="2">
        <v>0</v>
      </c>
      <c r="K2635" s="2">
        <v>0</v>
      </c>
      <c r="L2635" s="9"/>
      <c r="M2635" s="2">
        <v>0</v>
      </c>
      <c r="N2635" s="9"/>
      <c r="O2635" s="2">
        <v>0</v>
      </c>
      <c r="P2635" s="9"/>
      <c r="Q2635" s="2">
        <f t="shared" si="82"/>
        <v>0</v>
      </c>
      <c r="R2635" s="28"/>
      <c r="T2635" s="11"/>
    </row>
    <row r="2636" spans="1:21" ht="11.85" customHeight="1" x14ac:dyDescent="0.2">
      <c r="A2636" s="3" t="s">
        <v>1204</v>
      </c>
      <c r="C2636" s="2">
        <v>0</v>
      </c>
      <c r="E2636" s="2">
        <v>0</v>
      </c>
      <c r="G2636" s="2">
        <v>0</v>
      </c>
      <c r="I2636" s="2">
        <v>0</v>
      </c>
      <c r="K2636" s="2">
        <v>0</v>
      </c>
      <c r="L2636" s="9"/>
      <c r="M2636" s="2">
        <v>0</v>
      </c>
      <c r="N2636" s="9"/>
      <c r="O2636" s="2">
        <v>0</v>
      </c>
      <c r="P2636" s="9"/>
      <c r="Q2636" s="2">
        <f t="shared" si="82"/>
        <v>0</v>
      </c>
      <c r="T2636" s="11"/>
    </row>
    <row r="2637" spans="1:21" ht="11.85" customHeight="1" x14ac:dyDescent="0.2">
      <c r="A2637" s="3" t="s">
        <v>1205</v>
      </c>
      <c r="C2637" s="2">
        <v>0</v>
      </c>
      <c r="E2637" s="2">
        <v>0</v>
      </c>
      <c r="G2637" s="2">
        <v>0</v>
      </c>
      <c r="I2637" s="2">
        <v>0</v>
      </c>
      <c r="K2637" s="2">
        <v>0</v>
      </c>
      <c r="L2637" s="9"/>
      <c r="M2637" s="2">
        <v>0</v>
      </c>
      <c r="N2637" s="9"/>
      <c r="O2637" s="2">
        <v>0</v>
      </c>
      <c r="P2637" s="9"/>
      <c r="Q2637" s="2">
        <f t="shared" si="82"/>
        <v>0</v>
      </c>
      <c r="T2637" s="11"/>
    </row>
    <row r="2638" spans="1:21" ht="11.85" customHeight="1" x14ac:dyDescent="0.2">
      <c r="A2638" s="3" t="s">
        <v>1206</v>
      </c>
      <c r="C2638" s="2">
        <v>39062</v>
      </c>
      <c r="E2638" s="2">
        <v>27046.1</v>
      </c>
      <c r="G2638" s="2">
        <v>42320.5</v>
      </c>
      <c r="I2638" s="2">
        <v>50000</v>
      </c>
      <c r="K2638" s="2">
        <v>52020</v>
      </c>
      <c r="L2638" s="9"/>
      <c r="M2638" s="2">
        <v>50000</v>
      </c>
      <c r="N2638" s="9"/>
      <c r="O2638" s="2">
        <v>0</v>
      </c>
      <c r="P2638" s="9"/>
      <c r="Q2638" s="2">
        <f t="shared" si="82"/>
        <v>50000</v>
      </c>
      <c r="T2638" s="11"/>
    </row>
    <row r="2639" spans="1:21" ht="11.85" customHeight="1" x14ac:dyDescent="0.2">
      <c r="A2639" s="3" t="s">
        <v>1207</v>
      </c>
      <c r="C2639" s="2">
        <v>0</v>
      </c>
      <c r="E2639" s="2">
        <v>0</v>
      </c>
      <c r="G2639" s="2">
        <v>0</v>
      </c>
      <c r="I2639" s="2">
        <v>0</v>
      </c>
      <c r="K2639" s="2">
        <v>0</v>
      </c>
      <c r="L2639" s="9"/>
      <c r="M2639" s="2">
        <v>0</v>
      </c>
      <c r="N2639" s="9"/>
      <c r="O2639" s="2">
        <v>0</v>
      </c>
      <c r="P2639" s="9"/>
      <c r="Q2639" s="2">
        <f t="shared" si="82"/>
        <v>0</v>
      </c>
      <c r="T2639" s="11"/>
    </row>
    <row r="2640" spans="1:21" ht="11.85" customHeight="1" x14ac:dyDescent="0.2">
      <c r="A2640" s="3" t="s">
        <v>1208</v>
      </c>
      <c r="C2640" s="2">
        <v>234.6</v>
      </c>
      <c r="E2640" s="2">
        <v>234.6</v>
      </c>
      <c r="G2640" s="2">
        <v>280</v>
      </c>
      <c r="I2640" s="2">
        <v>500</v>
      </c>
      <c r="K2640" s="2">
        <v>500</v>
      </c>
      <c r="L2640" s="9"/>
      <c r="M2640" s="2">
        <v>500</v>
      </c>
      <c r="N2640" s="9"/>
      <c r="O2640" s="2">
        <v>0</v>
      </c>
      <c r="P2640" s="9"/>
      <c r="Q2640" s="2">
        <f t="shared" si="82"/>
        <v>500</v>
      </c>
      <c r="T2640" s="11"/>
    </row>
    <row r="2641" spans="1:20" ht="11.85" customHeight="1" x14ac:dyDescent="0.2">
      <c r="A2641" s="3" t="s">
        <v>1209</v>
      </c>
      <c r="C2641" s="2">
        <v>1554.86</v>
      </c>
      <c r="E2641" s="2">
        <v>494.64</v>
      </c>
      <c r="G2641" s="2">
        <v>0</v>
      </c>
      <c r="I2641" s="2">
        <v>0</v>
      </c>
      <c r="K2641" s="2">
        <v>0</v>
      </c>
      <c r="L2641" s="9"/>
      <c r="M2641" s="2">
        <v>2200</v>
      </c>
      <c r="N2641" s="9"/>
      <c r="O2641" s="2">
        <v>0</v>
      </c>
      <c r="P2641" s="9"/>
      <c r="Q2641" s="2">
        <f t="shared" si="82"/>
        <v>2200</v>
      </c>
      <c r="T2641" s="11"/>
    </row>
    <row r="2642" spans="1:20" ht="11.85" customHeight="1" x14ac:dyDescent="0.2">
      <c r="A2642" s="3" t="s">
        <v>1210</v>
      </c>
      <c r="C2642" s="2">
        <v>3382139.6</v>
      </c>
      <c r="E2642" s="2">
        <v>3683597.12</v>
      </c>
      <c r="G2642" s="2">
        <v>3845677.47</v>
      </c>
      <c r="I2642" s="2">
        <v>3800000</v>
      </c>
      <c r="K2642" s="2">
        <v>3800000</v>
      </c>
      <c r="L2642" s="9"/>
      <c r="M2642" s="2">
        <v>3800000</v>
      </c>
      <c r="N2642" s="9"/>
      <c r="O2642" s="2">
        <v>0</v>
      </c>
      <c r="P2642" s="9"/>
      <c r="Q2642" s="2">
        <f t="shared" si="82"/>
        <v>3800000</v>
      </c>
      <c r="T2642" s="11"/>
    </row>
    <row r="2643" spans="1:20" ht="11.85" customHeight="1" x14ac:dyDescent="0.2">
      <c r="A2643" s="3" t="s">
        <v>1211</v>
      </c>
      <c r="C2643" s="2">
        <v>390000</v>
      </c>
      <c r="E2643" s="2">
        <v>399996</v>
      </c>
      <c r="G2643" s="2">
        <v>399996</v>
      </c>
      <c r="I2643" s="2">
        <v>404000</v>
      </c>
      <c r="K2643" s="2">
        <v>404000</v>
      </c>
      <c r="L2643" s="9"/>
      <c r="M2643" s="2">
        <v>404000</v>
      </c>
      <c r="N2643" s="9"/>
      <c r="O2643" s="2">
        <v>0</v>
      </c>
      <c r="P2643" s="9"/>
      <c r="Q2643" s="2">
        <f t="shared" si="82"/>
        <v>404000</v>
      </c>
      <c r="T2643" s="11"/>
    </row>
    <row r="2644" spans="1:20" ht="11.85" customHeight="1" x14ac:dyDescent="0.2">
      <c r="A2644" s="3" t="s">
        <v>1212</v>
      </c>
      <c r="C2644" s="12">
        <v>245004</v>
      </c>
      <c r="E2644" s="12">
        <v>219000</v>
      </c>
      <c r="G2644" s="12">
        <v>200004</v>
      </c>
      <c r="I2644" s="12">
        <v>218000</v>
      </c>
      <c r="K2644" s="12">
        <v>218000</v>
      </c>
      <c r="L2644" s="9"/>
      <c r="M2644" s="12">
        <v>202000</v>
      </c>
      <c r="N2644" s="9"/>
      <c r="O2644" s="12">
        <v>0</v>
      </c>
      <c r="P2644" s="9"/>
      <c r="Q2644" s="12">
        <f t="shared" si="82"/>
        <v>202000</v>
      </c>
      <c r="T2644" s="11"/>
    </row>
    <row r="2645" spans="1:20" ht="11.85" hidden="1" customHeight="1" x14ac:dyDescent="0.2">
      <c r="A2645" s="3" t="s">
        <v>1213</v>
      </c>
      <c r="C2645" s="12">
        <v>0</v>
      </c>
      <c r="E2645" s="12">
        <v>0</v>
      </c>
      <c r="G2645" s="12">
        <v>0</v>
      </c>
      <c r="I2645" s="12">
        <v>0</v>
      </c>
      <c r="K2645" s="12">
        <v>0</v>
      </c>
      <c r="L2645" s="9"/>
      <c r="M2645" s="12">
        <v>0</v>
      </c>
      <c r="N2645" s="9"/>
      <c r="O2645" s="12">
        <v>0</v>
      </c>
      <c r="P2645" s="9"/>
      <c r="Q2645" s="12">
        <f t="shared" si="82"/>
        <v>0</v>
      </c>
      <c r="T2645" s="11"/>
    </row>
    <row r="2646" spans="1:20" ht="11.85" customHeight="1" x14ac:dyDescent="0.2">
      <c r="A2646" s="3" t="s">
        <v>304</v>
      </c>
      <c r="C2646" s="2">
        <f>SUM(C2630:C2645)</f>
        <v>4101198.2600000002</v>
      </c>
      <c r="E2646" s="2">
        <f>SUM(E2630:E2645)</f>
        <v>4371731.9800000004</v>
      </c>
      <c r="G2646" s="2">
        <f>SUM(G2630:G2645)</f>
        <v>4566724.78</v>
      </c>
      <c r="I2646" s="2">
        <f>SUM(I2630:I2645)</f>
        <v>4706000</v>
      </c>
      <c r="K2646" s="2">
        <f>SUM(K2630:K2645)</f>
        <v>4709566</v>
      </c>
      <c r="L2646" s="9"/>
      <c r="M2646" s="2">
        <f>SUM(M2630:M2645)</f>
        <v>4608200</v>
      </c>
      <c r="N2646" s="9"/>
      <c r="O2646" s="2">
        <f>SUM(O2630:O2645)</f>
        <v>50000</v>
      </c>
      <c r="P2646" s="9"/>
      <c r="Q2646" s="2">
        <f>SUM(Q2630:Q2645)</f>
        <v>4658200</v>
      </c>
      <c r="R2646" s="9"/>
    </row>
    <row r="2647" spans="1:20" ht="11.85" customHeight="1" x14ac:dyDescent="0.2">
      <c r="L2647" s="9"/>
      <c r="N2647" s="9"/>
      <c r="P2647" s="9"/>
    </row>
    <row r="2648" spans="1:20" ht="11.85" customHeight="1" x14ac:dyDescent="0.2">
      <c r="A2648" s="10" t="s">
        <v>305</v>
      </c>
      <c r="L2648" s="9"/>
      <c r="N2648" s="9"/>
      <c r="P2648" s="9"/>
    </row>
    <row r="2649" spans="1:20" ht="11.85" customHeight="1" x14ac:dyDescent="0.2">
      <c r="A2649" s="3" t="s">
        <v>1214</v>
      </c>
      <c r="C2649" s="2">
        <v>4433.03</v>
      </c>
      <c r="E2649" s="2">
        <v>1202.17</v>
      </c>
      <c r="G2649" s="2">
        <v>918.42</v>
      </c>
      <c r="I2649" s="2">
        <v>600</v>
      </c>
      <c r="K2649" s="2">
        <v>600</v>
      </c>
      <c r="L2649" s="9"/>
      <c r="M2649" s="2">
        <v>600</v>
      </c>
      <c r="N2649" s="9"/>
      <c r="O2649" s="2">
        <v>0</v>
      </c>
      <c r="P2649" s="9"/>
      <c r="Q2649" s="2">
        <f t="shared" ref="Q2649:Q2669" si="83">M2649+O2649</f>
        <v>600</v>
      </c>
      <c r="T2649" s="11"/>
    </row>
    <row r="2650" spans="1:20" ht="11.85" customHeight="1" x14ac:dyDescent="0.2">
      <c r="A2650" s="3" t="s">
        <v>1215</v>
      </c>
      <c r="C2650" s="2">
        <v>8262</v>
      </c>
      <c r="E2650" s="2">
        <v>9343</v>
      </c>
      <c r="G2650" s="2">
        <v>10242.219999999999</v>
      </c>
      <c r="I2650" s="2">
        <v>13000</v>
      </c>
      <c r="K2650" s="2">
        <v>13000</v>
      </c>
      <c r="L2650" s="9"/>
      <c r="M2650" s="2">
        <v>14000</v>
      </c>
      <c r="N2650" s="9"/>
      <c r="O2650" s="2">
        <v>0</v>
      </c>
      <c r="P2650" s="9"/>
      <c r="Q2650" s="2">
        <f t="shared" si="83"/>
        <v>14000</v>
      </c>
      <c r="T2650" s="11"/>
    </row>
    <row r="2651" spans="1:20" ht="11.85" customHeight="1" x14ac:dyDescent="0.2">
      <c r="A2651" s="3" t="s">
        <v>1216</v>
      </c>
      <c r="C2651" s="2">
        <v>9043.7800000000007</v>
      </c>
      <c r="E2651" s="2">
        <v>10486.76</v>
      </c>
      <c r="G2651" s="2">
        <v>9859.67</v>
      </c>
      <c r="I2651" s="2">
        <v>13000</v>
      </c>
      <c r="K2651" s="2">
        <v>13000</v>
      </c>
      <c r="L2651" s="9"/>
      <c r="M2651" s="2">
        <v>13000</v>
      </c>
      <c r="N2651" s="9"/>
      <c r="O2651" s="2">
        <v>0</v>
      </c>
      <c r="P2651" s="9"/>
      <c r="Q2651" s="2">
        <f t="shared" si="83"/>
        <v>13000</v>
      </c>
      <c r="T2651" s="11"/>
    </row>
    <row r="2652" spans="1:20" ht="11.85" customHeight="1" x14ac:dyDescent="0.2">
      <c r="A2652" s="3" t="s">
        <v>1217</v>
      </c>
      <c r="C2652" s="2">
        <v>22838.25</v>
      </c>
      <c r="E2652" s="2">
        <v>21719.1</v>
      </c>
      <c r="G2652" s="2">
        <v>39267</v>
      </c>
      <c r="I2652" s="2">
        <v>50000</v>
      </c>
      <c r="K2652" s="2">
        <v>50000</v>
      </c>
      <c r="L2652" s="9"/>
      <c r="M2652" s="2">
        <v>50000</v>
      </c>
      <c r="N2652" s="9"/>
      <c r="O2652" s="2">
        <v>0</v>
      </c>
      <c r="P2652" s="9"/>
      <c r="Q2652" s="2">
        <f t="shared" si="83"/>
        <v>50000</v>
      </c>
      <c r="T2652" s="11"/>
    </row>
    <row r="2653" spans="1:20" ht="11.85" customHeight="1" x14ac:dyDescent="0.2">
      <c r="A2653" s="3" t="s">
        <v>1218</v>
      </c>
      <c r="C2653" s="2">
        <v>4549.63</v>
      </c>
      <c r="E2653" s="2">
        <v>621.66999999999996</v>
      </c>
      <c r="G2653" s="2">
        <v>38845.769999999997</v>
      </c>
      <c r="I2653" s="2">
        <v>50000</v>
      </c>
      <c r="K2653" s="2">
        <v>108099</v>
      </c>
      <c r="L2653" s="9"/>
      <c r="M2653" s="2">
        <v>5000</v>
      </c>
      <c r="N2653" s="9"/>
      <c r="O2653" s="2">
        <v>0</v>
      </c>
      <c r="P2653" s="9"/>
      <c r="Q2653" s="2">
        <f t="shared" si="83"/>
        <v>5000</v>
      </c>
      <c r="T2653" s="11"/>
    </row>
    <row r="2654" spans="1:20" ht="11.85" customHeight="1" x14ac:dyDescent="0.2">
      <c r="A2654" s="3" t="s">
        <v>1219</v>
      </c>
      <c r="C2654" s="2">
        <v>8330.74</v>
      </c>
      <c r="E2654" s="2">
        <v>10705.74</v>
      </c>
      <c r="G2654" s="2">
        <v>13001.82</v>
      </c>
      <c r="I2654" s="2">
        <v>15000</v>
      </c>
      <c r="K2654" s="2">
        <v>15000</v>
      </c>
      <c r="L2654" s="9"/>
      <c r="M2654" s="2">
        <v>16000</v>
      </c>
      <c r="N2654" s="9"/>
      <c r="O2654" s="2">
        <v>0</v>
      </c>
      <c r="P2654" s="9"/>
      <c r="Q2654" s="2">
        <f t="shared" si="83"/>
        <v>16000</v>
      </c>
      <c r="T2654" s="11"/>
    </row>
    <row r="2655" spans="1:20" ht="11.85" customHeight="1" x14ac:dyDescent="0.2">
      <c r="A2655" s="3" t="s">
        <v>1220</v>
      </c>
      <c r="C2655" s="2">
        <v>1097.29</v>
      </c>
      <c r="E2655" s="2">
        <v>2474.77</v>
      </c>
      <c r="G2655" s="2">
        <v>2095.3000000000002</v>
      </c>
      <c r="I2655" s="2">
        <v>3000</v>
      </c>
      <c r="K2655" s="2">
        <v>3000</v>
      </c>
      <c r="L2655" s="9"/>
      <c r="M2655" s="2">
        <v>3000</v>
      </c>
      <c r="N2655" s="9"/>
      <c r="O2655" s="2">
        <v>0</v>
      </c>
      <c r="P2655" s="9"/>
      <c r="Q2655" s="2">
        <f t="shared" si="83"/>
        <v>3000</v>
      </c>
      <c r="T2655" s="11"/>
    </row>
    <row r="2656" spans="1:20" ht="11.85" hidden="1" customHeight="1" x14ac:dyDescent="0.2">
      <c r="A2656" s="3" t="s">
        <v>1221</v>
      </c>
      <c r="C2656" s="2">
        <v>0</v>
      </c>
      <c r="E2656" s="2">
        <v>0</v>
      </c>
      <c r="G2656" s="2">
        <v>0</v>
      </c>
      <c r="I2656" s="2">
        <v>0</v>
      </c>
      <c r="K2656" s="2">
        <v>0</v>
      </c>
      <c r="L2656" s="9"/>
      <c r="M2656" s="2">
        <v>0</v>
      </c>
      <c r="N2656" s="9"/>
      <c r="O2656" s="2">
        <v>0</v>
      </c>
      <c r="P2656" s="9"/>
      <c r="Q2656" s="2">
        <f t="shared" si="83"/>
        <v>0</v>
      </c>
      <c r="T2656" s="11"/>
    </row>
    <row r="2657" spans="1:21" ht="11.85" customHeight="1" x14ac:dyDescent="0.2">
      <c r="A2657" s="3" t="s">
        <v>1222</v>
      </c>
      <c r="C2657" s="2">
        <v>0</v>
      </c>
      <c r="E2657" s="2">
        <v>0</v>
      </c>
      <c r="G2657" s="2">
        <v>0</v>
      </c>
      <c r="I2657" s="2">
        <v>0</v>
      </c>
      <c r="K2657" s="2">
        <v>0</v>
      </c>
      <c r="L2657" s="9"/>
      <c r="M2657" s="2">
        <v>0</v>
      </c>
      <c r="N2657" s="9"/>
      <c r="O2657" s="2">
        <v>0</v>
      </c>
      <c r="P2657" s="9"/>
      <c r="Q2657" s="2">
        <f t="shared" si="83"/>
        <v>0</v>
      </c>
      <c r="T2657" s="11"/>
    </row>
    <row r="2658" spans="1:21" ht="11.85" customHeight="1" x14ac:dyDescent="0.2">
      <c r="A2658" s="3" t="s">
        <v>1223</v>
      </c>
      <c r="C2658" s="2">
        <v>6868.11</v>
      </c>
      <c r="E2658" s="2">
        <v>22824.400000000001</v>
      </c>
      <c r="G2658" s="2">
        <v>14967.22</v>
      </c>
      <c r="I2658" s="2">
        <v>26000</v>
      </c>
      <c r="K2658" s="2">
        <v>23980</v>
      </c>
      <c r="L2658" s="9"/>
      <c r="M2658" s="2">
        <v>26000</v>
      </c>
      <c r="N2658" s="9"/>
      <c r="O2658" s="2">
        <v>0</v>
      </c>
      <c r="P2658" s="9"/>
      <c r="Q2658" s="2">
        <f t="shared" si="83"/>
        <v>26000</v>
      </c>
      <c r="T2658" s="11"/>
    </row>
    <row r="2659" spans="1:21" ht="11.85" customHeight="1" x14ac:dyDescent="0.2">
      <c r="A2659" s="3" t="s">
        <v>1224</v>
      </c>
      <c r="C2659" s="2">
        <v>727.77</v>
      </c>
      <c r="E2659" s="2">
        <v>1266.79</v>
      </c>
      <c r="G2659" s="2">
        <v>3802.45</v>
      </c>
      <c r="I2659" s="2">
        <v>1500</v>
      </c>
      <c r="K2659" s="2">
        <v>1500</v>
      </c>
      <c r="L2659" s="9"/>
      <c r="M2659" s="2">
        <v>1500</v>
      </c>
      <c r="N2659" s="9"/>
      <c r="O2659" s="2">
        <v>0</v>
      </c>
      <c r="P2659" s="9"/>
      <c r="Q2659" s="2">
        <f t="shared" si="83"/>
        <v>1500</v>
      </c>
      <c r="T2659" s="11"/>
    </row>
    <row r="2660" spans="1:21" ht="11.85" customHeight="1" x14ac:dyDescent="0.2">
      <c r="A2660" s="3" t="s">
        <v>1225</v>
      </c>
      <c r="C2660" s="2">
        <v>36506.32</v>
      </c>
      <c r="E2660" s="2">
        <v>83333.39</v>
      </c>
      <c r="G2660" s="2">
        <v>55979.77</v>
      </c>
      <c r="I2660" s="2">
        <v>79000</v>
      </c>
      <c r="K2660" s="2">
        <v>79000</v>
      </c>
      <c r="L2660" s="9"/>
      <c r="M2660" s="2">
        <v>79000</v>
      </c>
      <c r="N2660" s="9"/>
      <c r="O2660" s="2">
        <v>0</v>
      </c>
      <c r="P2660" s="9"/>
      <c r="Q2660" s="2">
        <f t="shared" si="83"/>
        <v>79000</v>
      </c>
      <c r="T2660" s="11"/>
    </row>
    <row r="2661" spans="1:21" ht="11.85" customHeight="1" x14ac:dyDescent="0.2">
      <c r="A2661" s="3" t="s">
        <v>1226</v>
      </c>
      <c r="C2661" s="2">
        <v>490.51</v>
      </c>
      <c r="E2661" s="2">
        <v>503.52</v>
      </c>
      <c r="G2661" s="2">
        <v>476.26</v>
      </c>
      <c r="I2661" s="2">
        <v>1300</v>
      </c>
      <c r="K2661" s="2">
        <v>1300</v>
      </c>
      <c r="L2661" s="9"/>
      <c r="M2661" s="2">
        <v>1000</v>
      </c>
      <c r="N2661" s="9"/>
      <c r="O2661" s="2">
        <v>0</v>
      </c>
      <c r="P2661" s="9"/>
      <c r="Q2661" s="2">
        <f t="shared" si="83"/>
        <v>1000</v>
      </c>
      <c r="T2661" s="11"/>
    </row>
    <row r="2662" spans="1:21" ht="11.85" customHeight="1" x14ac:dyDescent="0.2">
      <c r="A2662" s="3" t="s">
        <v>1227</v>
      </c>
      <c r="C2662" s="2">
        <v>336.34</v>
      </c>
      <c r="E2662" s="2">
        <v>507.02</v>
      </c>
      <c r="G2662" s="2">
        <v>399.29</v>
      </c>
      <c r="I2662" s="2">
        <v>500</v>
      </c>
      <c r="K2662" s="2">
        <v>500</v>
      </c>
      <c r="L2662" s="9"/>
      <c r="M2662" s="2">
        <v>500</v>
      </c>
      <c r="N2662" s="9"/>
      <c r="O2662" s="2">
        <v>0</v>
      </c>
      <c r="P2662" s="9"/>
      <c r="Q2662" s="2">
        <f t="shared" si="83"/>
        <v>500</v>
      </c>
      <c r="T2662" s="11"/>
    </row>
    <row r="2663" spans="1:21" ht="11.85" hidden="1" customHeight="1" x14ac:dyDescent="0.2">
      <c r="A2663" s="3" t="s">
        <v>1228</v>
      </c>
      <c r="C2663" s="2">
        <v>0</v>
      </c>
      <c r="E2663" s="2">
        <v>0</v>
      </c>
      <c r="G2663" s="2">
        <v>0</v>
      </c>
      <c r="I2663" s="2">
        <v>0</v>
      </c>
      <c r="K2663" s="2">
        <v>0</v>
      </c>
      <c r="L2663" s="9"/>
      <c r="M2663" s="2">
        <v>0</v>
      </c>
      <c r="N2663" s="9"/>
      <c r="O2663" s="2">
        <v>0</v>
      </c>
      <c r="P2663" s="9"/>
      <c r="Q2663" s="2">
        <f t="shared" si="83"/>
        <v>0</v>
      </c>
      <c r="T2663" s="11"/>
    </row>
    <row r="2664" spans="1:21" ht="11.85" customHeight="1" x14ac:dyDescent="0.2">
      <c r="A2664" s="3" t="s">
        <v>1229</v>
      </c>
      <c r="C2664" s="2">
        <v>0</v>
      </c>
      <c r="E2664" s="2">
        <v>0</v>
      </c>
      <c r="G2664" s="2">
        <v>0</v>
      </c>
      <c r="I2664" s="2">
        <v>0</v>
      </c>
      <c r="K2664" s="2">
        <v>0</v>
      </c>
      <c r="L2664" s="9"/>
      <c r="M2664" s="2">
        <v>0</v>
      </c>
      <c r="N2664" s="9"/>
      <c r="O2664" s="2">
        <v>0</v>
      </c>
      <c r="P2664" s="9"/>
      <c r="Q2664" s="2">
        <f t="shared" si="83"/>
        <v>0</v>
      </c>
      <c r="T2664" s="11"/>
    </row>
    <row r="2665" spans="1:21" ht="11.85" customHeight="1" x14ac:dyDescent="0.2">
      <c r="A2665" s="3" t="s">
        <v>1230</v>
      </c>
      <c r="C2665" s="2">
        <v>3149.26</v>
      </c>
      <c r="E2665" s="2">
        <v>3193.98</v>
      </c>
      <c r="G2665" s="2">
        <v>3705.21</v>
      </c>
      <c r="I2665" s="2">
        <v>3000</v>
      </c>
      <c r="K2665" s="2">
        <v>3000</v>
      </c>
      <c r="L2665" s="9"/>
      <c r="M2665" s="2">
        <v>3200</v>
      </c>
      <c r="N2665" s="9"/>
      <c r="O2665" s="2">
        <v>0</v>
      </c>
      <c r="P2665" s="9"/>
      <c r="Q2665" s="2">
        <f t="shared" si="83"/>
        <v>3200</v>
      </c>
      <c r="T2665" s="11"/>
    </row>
    <row r="2666" spans="1:21" ht="11.85" customHeight="1" x14ac:dyDescent="0.2">
      <c r="A2666" s="3" t="s">
        <v>1231</v>
      </c>
      <c r="C2666" s="2">
        <v>13946.26</v>
      </c>
      <c r="E2666" s="2">
        <v>13387.85</v>
      </c>
      <c r="G2666" s="2">
        <v>24950.76</v>
      </c>
      <c r="I2666" s="2">
        <v>13000</v>
      </c>
      <c r="K2666" s="2">
        <v>20498</v>
      </c>
      <c r="L2666" s="9"/>
      <c r="M2666" s="2">
        <v>21000</v>
      </c>
      <c r="N2666" s="9"/>
      <c r="O2666" s="2">
        <v>0</v>
      </c>
      <c r="P2666" s="9"/>
      <c r="Q2666" s="2">
        <f t="shared" si="83"/>
        <v>21000</v>
      </c>
      <c r="T2666" s="11"/>
    </row>
    <row r="2667" spans="1:21" ht="11.85" customHeight="1" x14ac:dyDescent="0.2">
      <c r="A2667" s="3" t="s">
        <v>1232</v>
      </c>
      <c r="C2667" s="2">
        <v>31500</v>
      </c>
      <c r="E2667" s="2">
        <v>18003</v>
      </c>
      <c r="G2667" s="2">
        <v>16999</v>
      </c>
      <c r="I2667" s="2">
        <v>32000</v>
      </c>
      <c r="K2667" s="2">
        <v>32000</v>
      </c>
      <c r="L2667" s="9"/>
      <c r="M2667" s="2">
        <v>20000</v>
      </c>
      <c r="N2667" s="9"/>
      <c r="O2667" s="2">
        <v>0</v>
      </c>
      <c r="P2667" s="9"/>
      <c r="Q2667" s="2">
        <f t="shared" si="83"/>
        <v>20000</v>
      </c>
      <c r="T2667" s="11"/>
    </row>
    <row r="2668" spans="1:21" ht="11.85" hidden="1" customHeight="1" x14ac:dyDescent="0.2">
      <c r="A2668" s="3" t="s">
        <v>1233</v>
      </c>
      <c r="C2668" s="2">
        <v>0</v>
      </c>
      <c r="E2668" s="2">
        <v>0</v>
      </c>
      <c r="G2668" s="2">
        <v>0</v>
      </c>
      <c r="I2668" s="2">
        <v>0</v>
      </c>
      <c r="K2668" s="2">
        <v>0</v>
      </c>
      <c r="L2668" s="9"/>
      <c r="M2668" s="2">
        <v>0</v>
      </c>
      <c r="N2668" s="9"/>
      <c r="O2668" s="2">
        <v>0</v>
      </c>
      <c r="P2668" s="9"/>
      <c r="Q2668" s="2">
        <f t="shared" si="83"/>
        <v>0</v>
      </c>
      <c r="T2668" s="11"/>
    </row>
    <row r="2669" spans="1:21" ht="11.85" customHeight="1" x14ac:dyDescent="0.2">
      <c r="A2669" s="3" t="s">
        <v>1234</v>
      </c>
      <c r="C2669" s="12">
        <v>7264.96</v>
      </c>
      <c r="E2669" s="12">
        <v>4795.66</v>
      </c>
      <c r="G2669" s="12">
        <v>12460.77</v>
      </c>
      <c r="I2669" s="12">
        <v>22400</v>
      </c>
      <c r="K2669" s="12">
        <v>22400</v>
      </c>
      <c r="L2669" s="9"/>
      <c r="M2669" s="12">
        <v>24200</v>
      </c>
      <c r="N2669" s="9"/>
      <c r="O2669" s="12">
        <v>0</v>
      </c>
      <c r="P2669" s="9"/>
      <c r="Q2669" s="12">
        <f t="shared" si="83"/>
        <v>24200</v>
      </c>
      <c r="T2669" s="11"/>
    </row>
    <row r="2670" spans="1:21" ht="11.85" customHeight="1" x14ac:dyDescent="0.2">
      <c r="A2670" s="3" t="s">
        <v>328</v>
      </c>
      <c r="C2670" s="2">
        <f>SUM(C2649:C2655)+SUM(C2656:C2669)</f>
        <v>159344.25</v>
      </c>
      <c r="E2670" s="2">
        <f>SUM(E2649:E2655)+SUM(E2656:E2669)</f>
        <v>204368.82</v>
      </c>
      <c r="G2670" s="2">
        <f>SUM(G2649:G2655)+SUM(G2656:G2669)</f>
        <v>247970.93</v>
      </c>
      <c r="I2670" s="2">
        <f>SUM(I2649:I2655)+SUM(I2656:I2669)</f>
        <v>323300</v>
      </c>
      <c r="K2670" s="2">
        <f>SUM(K2649:K2655)+SUM(K2656:K2669)</f>
        <v>386877</v>
      </c>
      <c r="L2670" s="9"/>
      <c r="M2670" s="2">
        <f>SUM(M2649:M2655)+SUM(M2656:M2669)</f>
        <v>278000</v>
      </c>
      <c r="N2670" s="9"/>
      <c r="O2670" s="2">
        <f>SUM(O2649:O2655)+SUM(O2656:O2669)</f>
        <v>0</v>
      </c>
      <c r="P2670" s="9"/>
      <c r="Q2670" s="2">
        <f>SUM(Q2649:Q2655)+SUM(Q2656:Q2669)</f>
        <v>278000</v>
      </c>
      <c r="R2670" s="2"/>
      <c r="T2670" s="14"/>
      <c r="U2670" s="9"/>
    </row>
    <row r="2671" spans="1:21" ht="11.85" customHeight="1" x14ac:dyDescent="0.2">
      <c r="L2671" s="9"/>
      <c r="N2671" s="9"/>
      <c r="P2671" s="9"/>
    </row>
    <row r="2672" spans="1:21" ht="11.85" customHeight="1" x14ac:dyDescent="0.2">
      <c r="A2672" s="3" t="s">
        <v>1235</v>
      </c>
      <c r="C2672" s="2">
        <v>-668.45</v>
      </c>
      <c r="E2672" s="2">
        <v>5065</v>
      </c>
      <c r="G2672" s="2">
        <v>148023.29</v>
      </c>
      <c r="I2672" s="2">
        <v>150000</v>
      </c>
      <c r="K2672" s="2">
        <v>150000</v>
      </c>
      <c r="L2672" s="9"/>
      <c r="M2672" s="2">
        <v>0</v>
      </c>
      <c r="N2672" s="9"/>
      <c r="O2672" s="2">
        <v>0</v>
      </c>
      <c r="P2672" s="9"/>
      <c r="Q2672" s="2">
        <f>M2672+O2672</f>
        <v>0</v>
      </c>
    </row>
    <row r="2673" spans="1:17" ht="11.85" customHeight="1" x14ac:dyDescent="0.2">
      <c r="A2673" s="3" t="s">
        <v>1236</v>
      </c>
      <c r="C2673" s="2">
        <v>0</v>
      </c>
      <c r="E2673" s="2">
        <v>0</v>
      </c>
      <c r="G2673" s="2">
        <v>87972.55</v>
      </c>
      <c r="I2673" s="2">
        <v>0</v>
      </c>
      <c r="K2673" s="2">
        <v>0</v>
      </c>
      <c r="L2673" s="9"/>
      <c r="M2673" s="2">
        <v>225000</v>
      </c>
      <c r="N2673" s="9"/>
      <c r="O2673" s="2">
        <v>0</v>
      </c>
      <c r="P2673" s="9"/>
      <c r="Q2673" s="2">
        <f>M2673+O2673</f>
        <v>225000</v>
      </c>
    </row>
    <row r="2674" spans="1:17" ht="11.85" customHeight="1" x14ac:dyDescent="0.2">
      <c r="A2674" s="3" t="s">
        <v>1237</v>
      </c>
      <c r="C2674" s="12">
        <v>0</v>
      </c>
      <c r="E2674" s="12">
        <v>0</v>
      </c>
      <c r="G2674" s="12">
        <v>0</v>
      </c>
      <c r="I2674" s="12">
        <v>0</v>
      </c>
      <c r="K2674" s="12">
        <v>0</v>
      </c>
      <c r="L2674" s="9"/>
      <c r="M2674" s="12">
        <v>0</v>
      </c>
      <c r="N2674" s="9"/>
      <c r="O2674" s="12">
        <v>0</v>
      </c>
      <c r="P2674" s="9"/>
      <c r="Q2674" s="12">
        <f>M2674+O2674</f>
        <v>0</v>
      </c>
    </row>
    <row r="2675" spans="1:17" ht="11.85" customHeight="1" x14ac:dyDescent="0.2">
      <c r="A2675" s="3" t="s">
        <v>331</v>
      </c>
      <c r="C2675" s="2">
        <f>SUM(C2672:C2674)</f>
        <v>-668.45</v>
      </c>
      <c r="E2675" s="2">
        <f>SUM(E2672:E2674)</f>
        <v>5065</v>
      </c>
      <c r="G2675" s="2">
        <f>SUM(G2672:G2674)</f>
        <v>235995.84000000003</v>
      </c>
      <c r="I2675" s="2">
        <f>SUM(I2672:I2674)</f>
        <v>150000</v>
      </c>
      <c r="K2675" s="2">
        <f>SUM(K2672:K2674)</f>
        <v>150000</v>
      </c>
      <c r="L2675" s="9"/>
      <c r="M2675" s="2">
        <f>SUM(M2672:M2674)</f>
        <v>225000</v>
      </c>
      <c r="N2675" s="9"/>
      <c r="O2675" s="2">
        <f>SUM(O2672:O2674)</f>
        <v>0</v>
      </c>
      <c r="P2675" s="9"/>
      <c r="Q2675" s="2">
        <f>SUM(Q2672:Q2674)</f>
        <v>225000</v>
      </c>
    </row>
    <row r="2676" spans="1:17" ht="11.85" customHeight="1" x14ac:dyDescent="0.2">
      <c r="A2676" s="1"/>
      <c r="B2676" s="1"/>
      <c r="E2676" s="2" t="str">
        <f>$E$1</f>
        <v>CITY OF BRADY</v>
      </c>
    </row>
    <row r="2677" spans="1:17" ht="11.85" customHeight="1" x14ac:dyDescent="0.2">
      <c r="E2677" s="2" t="str">
        <f>$E$2</f>
        <v>BUDGET REPORT</v>
      </c>
    </row>
    <row r="2678" spans="1:17" ht="11.85" customHeight="1" x14ac:dyDescent="0.2">
      <c r="E2678" s="2" t="str">
        <f>$E$3</f>
        <v>FISCAL YEAR 2024 - 2025</v>
      </c>
    </row>
    <row r="2679" spans="1:17" ht="11.85" customHeight="1" x14ac:dyDescent="0.2">
      <c r="A2679" s="3" t="s">
        <v>1138</v>
      </c>
    </row>
    <row r="2680" spans="1:17" ht="11.85" customHeight="1" x14ac:dyDescent="0.2">
      <c r="A2680" s="3" t="s">
        <v>1187</v>
      </c>
    </row>
    <row r="2681" spans="1:17" ht="11.85" customHeight="1" x14ac:dyDescent="0.2">
      <c r="I2681" s="53" t="str">
        <f>$I$6</f>
        <v>(----- 2023-2024------)</v>
      </c>
      <c r="J2681" s="53"/>
      <c r="K2681" s="53"/>
      <c r="L2681" s="6"/>
      <c r="M2681" s="54" t="str">
        <f>$M$6</f>
        <v>2024-2025</v>
      </c>
      <c r="N2681" s="54"/>
      <c r="O2681" s="54"/>
      <c r="P2681" s="54"/>
      <c r="Q2681" s="54"/>
    </row>
    <row r="2682" spans="1:17" ht="11.85" customHeight="1" x14ac:dyDescent="0.2">
      <c r="C2682" s="5" t="str">
        <f>$C$7</f>
        <v>2020-2021</v>
      </c>
      <c r="D2682" s="5"/>
      <c r="E2682" s="5" t="str">
        <f>$E$7</f>
        <v>2021-2022</v>
      </c>
      <c r="F2682" s="5"/>
      <c r="G2682" s="5" t="str">
        <f>$G$7</f>
        <v>2022-2023</v>
      </c>
      <c r="H2682" s="5"/>
      <c r="I2682" s="5" t="s">
        <v>9</v>
      </c>
      <c r="J2682" s="5"/>
      <c r="K2682" s="5" t="str">
        <f>+$K$7</f>
        <v>PROJECTED</v>
      </c>
      <c r="L2682" s="6"/>
      <c r="M2682" s="5">
        <f>$M$7</f>
        <v>0</v>
      </c>
      <c r="N2682" s="6"/>
      <c r="O2682" s="5" t="str">
        <f>$O$7</f>
        <v>2024-2025</v>
      </c>
      <c r="P2682" s="6"/>
      <c r="Q2682" s="5" t="str">
        <f>$Q$7</f>
        <v>APPROVED</v>
      </c>
    </row>
    <row r="2683" spans="1:17" ht="11.85" customHeight="1" x14ac:dyDescent="0.2">
      <c r="A2683" s="7" t="s">
        <v>273</v>
      </c>
      <c r="C2683" s="8" t="s">
        <v>12</v>
      </c>
      <c r="D2683" s="5"/>
      <c r="E2683" s="8" t="s">
        <v>12</v>
      </c>
      <c r="F2683" s="5"/>
      <c r="G2683" s="8" t="s">
        <v>12</v>
      </c>
      <c r="H2683" s="5"/>
      <c r="I2683" s="8" t="s">
        <v>13</v>
      </c>
      <c r="J2683" s="5"/>
      <c r="K2683" s="8" t="s">
        <v>13</v>
      </c>
      <c r="L2683" s="6"/>
      <c r="M2683" s="8" t="str">
        <f>$M$8</f>
        <v>BASE</v>
      </c>
      <c r="N2683" s="6"/>
      <c r="O2683" s="8" t="str">
        <f>$O$8</f>
        <v>SUPPLEMENTAL</v>
      </c>
      <c r="P2683" s="6"/>
      <c r="Q2683" s="8" t="str">
        <f>$Q$8</f>
        <v>BUDGET</v>
      </c>
    </row>
    <row r="2684" spans="1:17" ht="11.85" customHeight="1" x14ac:dyDescent="0.2">
      <c r="L2684" s="9"/>
      <c r="N2684" s="9"/>
      <c r="P2684" s="9"/>
    </row>
    <row r="2685" spans="1:17" ht="11.85" customHeight="1" x14ac:dyDescent="0.2">
      <c r="A2685" s="10" t="s">
        <v>1016</v>
      </c>
      <c r="L2685" s="9"/>
      <c r="N2685" s="9"/>
      <c r="P2685" s="9"/>
    </row>
    <row r="2686" spans="1:17" ht="11.85" customHeight="1" x14ac:dyDescent="0.2">
      <c r="A2686" s="3" t="s">
        <v>1238</v>
      </c>
      <c r="C2686" s="12">
        <v>0</v>
      </c>
      <c r="E2686" s="12">
        <v>0</v>
      </c>
      <c r="G2686" s="12">
        <v>0</v>
      </c>
      <c r="I2686" s="12">
        <v>0</v>
      </c>
      <c r="K2686" s="12">
        <v>0</v>
      </c>
      <c r="L2686" s="9"/>
      <c r="M2686" s="12">
        <v>0</v>
      </c>
      <c r="N2686" s="9"/>
      <c r="O2686" s="12">
        <v>0</v>
      </c>
      <c r="P2686" s="9"/>
      <c r="Q2686" s="12">
        <f>M2686+O2686</f>
        <v>0</v>
      </c>
    </row>
    <row r="2687" spans="1:17" ht="11.85" hidden="1" customHeight="1" x14ac:dyDescent="0.2">
      <c r="A2687" s="3" t="s">
        <v>1239</v>
      </c>
      <c r="C2687" s="12">
        <v>0</v>
      </c>
      <c r="E2687" s="12">
        <v>0</v>
      </c>
      <c r="G2687" s="12">
        <v>0</v>
      </c>
      <c r="I2687" s="12">
        <v>0</v>
      </c>
      <c r="K2687" s="12">
        <v>0</v>
      </c>
      <c r="L2687" s="9"/>
      <c r="M2687" s="12">
        <v>0</v>
      </c>
      <c r="N2687" s="9"/>
      <c r="O2687" s="12">
        <v>0</v>
      </c>
      <c r="P2687" s="9"/>
      <c r="Q2687" s="12">
        <f>M2687+O2687</f>
        <v>0</v>
      </c>
    </row>
    <row r="2688" spans="1:17" ht="11.85" customHeight="1" x14ac:dyDescent="0.2">
      <c r="A2688" s="3" t="s">
        <v>1018</v>
      </c>
      <c r="C2688" s="2">
        <f>SUM(C2686:C2687)</f>
        <v>0</v>
      </c>
      <c r="E2688" s="2">
        <f>SUM(E2686:E2687)</f>
        <v>0</v>
      </c>
      <c r="G2688" s="2">
        <f>SUM(G2686:G2687)</f>
        <v>0</v>
      </c>
      <c r="I2688" s="2">
        <f>SUM(I2686:I2687)</f>
        <v>0</v>
      </c>
      <c r="K2688" s="2">
        <f>SUM(K2686:K2687)</f>
        <v>0</v>
      </c>
      <c r="L2688" s="9"/>
      <c r="M2688" s="2">
        <f>SUM(M2686:M2687)</f>
        <v>0</v>
      </c>
      <c r="N2688" s="9"/>
      <c r="O2688" s="2">
        <f>SUM(O2686:O2687)</f>
        <v>0</v>
      </c>
      <c r="P2688" s="9"/>
      <c r="Q2688" s="2">
        <f>SUM(Q2686:Q2687)</f>
        <v>0</v>
      </c>
    </row>
    <row r="2689" spans="1:23" ht="11.85" customHeight="1" x14ac:dyDescent="0.2">
      <c r="L2689" s="9"/>
      <c r="N2689" s="9"/>
      <c r="P2689" s="9"/>
    </row>
    <row r="2690" spans="1:23" ht="11.85" customHeight="1" x14ac:dyDescent="0.2">
      <c r="A2690" s="10" t="s">
        <v>332</v>
      </c>
      <c r="L2690" s="9"/>
      <c r="N2690" s="9"/>
      <c r="P2690" s="9"/>
    </row>
    <row r="2691" spans="1:23" ht="11.85" customHeight="1" x14ac:dyDescent="0.2">
      <c r="A2691" s="3" t="s">
        <v>1240</v>
      </c>
      <c r="C2691" s="2">
        <v>73836.44</v>
      </c>
      <c r="E2691" s="2">
        <v>76305.820000000007</v>
      </c>
      <c r="G2691" s="2">
        <v>62163.24</v>
      </c>
      <c r="I2691" s="2">
        <v>92100</v>
      </c>
      <c r="K2691" s="2">
        <v>92100</v>
      </c>
      <c r="L2691" s="9"/>
      <c r="M2691" s="2">
        <v>125000</v>
      </c>
      <c r="N2691" s="9"/>
      <c r="O2691" s="2">
        <v>0</v>
      </c>
      <c r="P2691" s="9"/>
      <c r="Q2691" s="2">
        <f t="shared" ref="Q2691:Q2696" si="84">M2691+O2691</f>
        <v>125000</v>
      </c>
      <c r="T2691" s="11"/>
    </row>
    <row r="2692" spans="1:23" ht="11.85" customHeight="1" x14ac:dyDescent="0.2">
      <c r="A2692" s="3" t="s">
        <v>1241</v>
      </c>
      <c r="C2692" s="2">
        <v>125026</v>
      </c>
      <c r="E2692" s="2">
        <v>0</v>
      </c>
      <c r="G2692" s="2">
        <v>0</v>
      </c>
      <c r="I2692" s="2">
        <v>0</v>
      </c>
      <c r="K2692" s="2">
        <v>407500</v>
      </c>
      <c r="L2692" s="9"/>
      <c r="M2692" s="2">
        <v>225000</v>
      </c>
      <c r="N2692" s="9"/>
      <c r="O2692" s="2">
        <v>0</v>
      </c>
      <c r="P2692" s="9"/>
      <c r="Q2692" s="2">
        <f t="shared" si="84"/>
        <v>225000</v>
      </c>
    </row>
    <row r="2693" spans="1:23" ht="11.85" hidden="1" customHeight="1" x14ac:dyDescent="0.2">
      <c r="A2693" s="3" t="s">
        <v>1242</v>
      </c>
      <c r="C2693" s="2">
        <v>0</v>
      </c>
      <c r="E2693" s="2">
        <v>0</v>
      </c>
      <c r="G2693" s="2">
        <v>0</v>
      </c>
      <c r="I2693" s="2">
        <v>0</v>
      </c>
      <c r="K2693" s="2">
        <v>0</v>
      </c>
      <c r="L2693" s="9"/>
      <c r="M2693" s="2">
        <v>0</v>
      </c>
      <c r="N2693" s="9"/>
      <c r="O2693" s="2">
        <v>0</v>
      </c>
      <c r="P2693" s="9"/>
      <c r="Q2693" s="2">
        <f t="shared" si="84"/>
        <v>0</v>
      </c>
    </row>
    <row r="2694" spans="1:23" ht="11.85" customHeight="1" x14ac:dyDescent="0.2">
      <c r="A2694" s="3" t="s">
        <v>1243</v>
      </c>
      <c r="C2694" s="2">
        <v>2844996</v>
      </c>
      <c r="E2694" s="2">
        <v>2000004</v>
      </c>
      <c r="G2694" s="2">
        <v>2634996</v>
      </c>
      <c r="I2694" s="2">
        <v>2480000</v>
      </c>
      <c r="K2694" s="2">
        <v>2480000</v>
      </c>
      <c r="L2694" s="9"/>
      <c r="M2694" s="2">
        <v>2130000</v>
      </c>
      <c r="N2694" s="9"/>
      <c r="O2694" s="2">
        <v>613000</v>
      </c>
      <c r="P2694" s="9"/>
      <c r="Q2694" s="2">
        <f t="shared" si="84"/>
        <v>2743000</v>
      </c>
    </row>
    <row r="2695" spans="1:23" ht="11.85" customHeight="1" x14ac:dyDescent="0.2">
      <c r="A2695" s="3" t="s">
        <v>1244</v>
      </c>
      <c r="C2695" s="2">
        <v>0</v>
      </c>
      <c r="E2695" s="2">
        <v>0</v>
      </c>
      <c r="G2695" s="2">
        <v>54999</v>
      </c>
      <c r="I2695" s="2">
        <v>75000</v>
      </c>
      <c r="K2695" s="2">
        <v>75000</v>
      </c>
      <c r="L2695" s="9"/>
      <c r="M2695" s="2">
        <v>75000</v>
      </c>
      <c r="N2695" s="9"/>
      <c r="O2695" s="2">
        <v>0</v>
      </c>
      <c r="P2695" s="9"/>
      <c r="Q2695" s="2">
        <f t="shared" si="84"/>
        <v>75000</v>
      </c>
    </row>
    <row r="2696" spans="1:23" ht="11.85" customHeight="1" x14ac:dyDescent="0.2">
      <c r="A2696" s="3" t="s">
        <v>1245</v>
      </c>
      <c r="C2696" s="12">
        <v>140004</v>
      </c>
      <c r="E2696" s="12">
        <v>150000</v>
      </c>
      <c r="G2696" s="12">
        <v>150204</v>
      </c>
      <c r="I2696" s="12">
        <v>150000</v>
      </c>
      <c r="K2696" s="12">
        <v>150000</v>
      </c>
      <c r="L2696" s="9"/>
      <c r="M2696" s="12">
        <v>140000</v>
      </c>
      <c r="N2696" s="9"/>
      <c r="O2696" s="12">
        <v>0</v>
      </c>
      <c r="P2696" s="9"/>
      <c r="Q2696" s="12">
        <f t="shared" si="84"/>
        <v>140000</v>
      </c>
      <c r="R2696" s="9"/>
      <c r="U2696" s="2"/>
    </row>
    <row r="2697" spans="1:23" ht="11.85" customHeight="1" x14ac:dyDescent="0.2">
      <c r="A2697" s="3" t="s">
        <v>336</v>
      </c>
      <c r="C2697" s="2">
        <f>SUM(C2691:C2696)</f>
        <v>3183862.44</v>
      </c>
      <c r="E2697" s="2">
        <f>SUM(E2691:E2696)</f>
        <v>2226309.8200000003</v>
      </c>
      <c r="G2697" s="2">
        <f>SUM(G2691:G2696)</f>
        <v>2902362.24</v>
      </c>
      <c r="I2697" s="2">
        <f>SUM(I2691:I2696)</f>
        <v>2797100</v>
      </c>
      <c r="K2697" s="2">
        <f>SUM(K2691:K2696)</f>
        <v>3204600</v>
      </c>
      <c r="L2697" s="9"/>
      <c r="M2697" s="2">
        <f>SUM(M2691:M2696)</f>
        <v>2695000</v>
      </c>
      <c r="N2697" s="9"/>
      <c r="O2697" s="2">
        <f>SUM(O2691:O2696)</f>
        <v>613000</v>
      </c>
      <c r="P2697" s="9"/>
      <c r="Q2697" s="2">
        <f>SUM(Q2691:Q2696)</f>
        <v>3308000</v>
      </c>
      <c r="R2697" s="9"/>
      <c r="U2697" s="2"/>
      <c r="V2697" s="38"/>
      <c r="W2697" s="9"/>
    </row>
    <row r="2698" spans="1:23" ht="11.85" customHeight="1" x14ac:dyDescent="0.2">
      <c r="L2698" s="9"/>
      <c r="N2698" s="9"/>
      <c r="P2698" s="9"/>
      <c r="T2698" s="11"/>
      <c r="U2698" s="2"/>
    </row>
    <row r="2699" spans="1:23" ht="11.85" customHeight="1" x14ac:dyDescent="0.2">
      <c r="A2699" s="3" t="s">
        <v>1246</v>
      </c>
      <c r="C2699" s="2">
        <f>C2627+C2646+C2670+C2675+C2688+C2697</f>
        <v>7771811.1999999993</v>
      </c>
      <c r="E2699" s="2">
        <f>E2627+E2646+E2670+E2675+E2688+E2697</f>
        <v>7085834.0700000012</v>
      </c>
      <c r="G2699" s="2">
        <f>G2627+G2646+G2670+G2675+G2688+G2697</f>
        <v>8295271</v>
      </c>
      <c r="I2699" s="2">
        <f>I2627+I2646+I2670+I2675+I2688+I2697</f>
        <v>8430111</v>
      </c>
      <c r="K2699" s="2">
        <f>K2627+K2646+K2670+K2675+K2688+K2697</f>
        <v>8904754</v>
      </c>
      <c r="L2699" s="9"/>
      <c r="M2699" s="2">
        <f>M2627+M2646+M2670+M2675+M2688+M2697</f>
        <v>8276283</v>
      </c>
      <c r="N2699" s="9"/>
      <c r="O2699" s="2">
        <f>O2627+O2646+O2670+O2675+O2688+O2697</f>
        <v>663000</v>
      </c>
      <c r="P2699" s="9"/>
      <c r="Q2699" s="2">
        <f>Q2627+Q2646+Q2670+Q2675+Q2688+Q2697</f>
        <v>8939283</v>
      </c>
      <c r="R2699" s="9"/>
      <c r="U2699" s="2"/>
    </row>
    <row r="2700" spans="1:23" ht="11.85" customHeight="1" x14ac:dyDescent="0.2">
      <c r="R2700" s="9"/>
      <c r="U2700" s="2"/>
    </row>
    <row r="2701" spans="1:23" ht="11.85" customHeight="1" x14ac:dyDescent="0.2">
      <c r="U2701" s="2"/>
    </row>
    <row r="2702" spans="1:23" ht="11.85" customHeight="1" x14ac:dyDescent="0.2"/>
    <row r="2703" spans="1:23" ht="11.85" customHeight="1" x14ac:dyDescent="0.2"/>
    <row r="2704" spans="1:23" ht="11.85" customHeight="1" x14ac:dyDescent="0.2"/>
    <row r="2705" ht="11.85" customHeight="1" x14ac:dyDescent="0.2"/>
    <row r="2706" ht="11.85" customHeight="1" x14ac:dyDescent="0.2"/>
    <row r="2707" ht="11.85" customHeight="1" x14ac:dyDescent="0.2"/>
    <row r="2708" ht="11.85" customHeight="1" x14ac:dyDescent="0.2"/>
    <row r="2709" ht="11.85" customHeight="1" x14ac:dyDescent="0.2"/>
    <row r="2710" ht="11.85" customHeight="1" x14ac:dyDescent="0.2"/>
    <row r="2711" ht="11.85" customHeight="1" x14ac:dyDescent="0.2"/>
    <row r="2712" ht="11.85" customHeight="1" x14ac:dyDescent="0.2"/>
    <row r="2713" ht="11.85" customHeight="1" x14ac:dyDescent="0.2"/>
    <row r="2714" ht="11.85" customHeight="1" x14ac:dyDescent="0.2"/>
    <row r="2715" ht="11.85" customHeight="1" x14ac:dyDescent="0.2"/>
    <row r="2716" ht="11.85" customHeight="1" x14ac:dyDescent="0.2"/>
    <row r="2717" ht="11.85" customHeight="1" x14ac:dyDescent="0.2"/>
    <row r="2718" ht="11.85" customHeight="1" x14ac:dyDescent="0.2"/>
    <row r="2719" ht="11.85" customHeight="1" x14ac:dyDescent="0.2"/>
    <row r="2720" ht="11.85" customHeight="1" x14ac:dyDescent="0.2"/>
    <row r="2721" ht="11.85" customHeight="1" x14ac:dyDescent="0.2"/>
    <row r="2722" ht="11.85" customHeight="1" x14ac:dyDescent="0.2"/>
    <row r="2723" ht="11.85" customHeight="1" x14ac:dyDescent="0.2"/>
    <row r="2724" ht="11.85" customHeight="1" x14ac:dyDescent="0.2"/>
    <row r="2725" ht="11.85" customHeight="1" x14ac:dyDescent="0.2"/>
    <row r="2726" ht="11.85" customHeight="1" x14ac:dyDescent="0.2"/>
    <row r="2727" ht="11.85" customHeight="1" x14ac:dyDescent="0.2"/>
    <row r="2728" ht="11.85" customHeight="1" x14ac:dyDescent="0.2"/>
    <row r="2729" ht="11.85" customHeight="1" x14ac:dyDescent="0.2"/>
    <row r="2730" ht="11.85" customHeight="1" x14ac:dyDescent="0.2"/>
    <row r="2731" ht="11.85" customHeight="1" x14ac:dyDescent="0.2"/>
    <row r="2732" ht="11.85" customHeight="1" x14ac:dyDescent="0.2"/>
    <row r="2733" ht="11.85" customHeight="1" x14ac:dyDescent="0.2"/>
    <row r="2734" ht="11.85" customHeight="1" x14ac:dyDescent="0.2"/>
    <row r="2735" ht="11.85" customHeight="1" x14ac:dyDescent="0.2"/>
    <row r="2736" ht="11.85" customHeight="1" x14ac:dyDescent="0.2"/>
    <row r="2737" spans="1:20" ht="11.85" customHeight="1" x14ac:dyDescent="0.2"/>
    <row r="2738" spans="1:20" ht="11.85" customHeight="1" x14ac:dyDescent="0.2"/>
    <row r="2739" spans="1:20" ht="11.85" customHeight="1" x14ac:dyDescent="0.2">
      <c r="A2739" s="1"/>
      <c r="B2739" s="1"/>
      <c r="E2739" s="2" t="str">
        <f>$E$1</f>
        <v>CITY OF BRADY</v>
      </c>
    </row>
    <row r="2740" spans="1:20" ht="11.85" customHeight="1" x14ac:dyDescent="0.2">
      <c r="E2740" s="2" t="str">
        <f>$E$2</f>
        <v>BUDGET REPORT</v>
      </c>
    </row>
    <row r="2741" spans="1:20" ht="11.85" customHeight="1" x14ac:dyDescent="0.2">
      <c r="E2741" s="2" t="str">
        <f>$E$3</f>
        <v>FISCAL YEAR 2024 - 2025</v>
      </c>
    </row>
    <row r="2742" spans="1:20" ht="11.85" customHeight="1" x14ac:dyDescent="0.2">
      <c r="A2742" s="3" t="s">
        <v>1138</v>
      </c>
    </row>
    <row r="2743" spans="1:20" ht="11.85" customHeight="1" x14ac:dyDescent="0.2">
      <c r="A2743" s="3" t="s">
        <v>1247</v>
      </c>
    </row>
    <row r="2744" spans="1:20" ht="11.85" customHeight="1" x14ac:dyDescent="0.2">
      <c r="A2744" s="32" t="s">
        <v>674</v>
      </c>
      <c r="I2744" s="53" t="str">
        <f>$I$6</f>
        <v>(----- 2023-2024------)</v>
      </c>
      <c r="J2744" s="53"/>
      <c r="K2744" s="53"/>
      <c r="L2744" s="6"/>
      <c r="M2744" s="54" t="str">
        <f>$M$6</f>
        <v>2024-2025</v>
      </c>
      <c r="N2744" s="54"/>
      <c r="O2744" s="54"/>
      <c r="P2744" s="54"/>
      <c r="Q2744" s="54"/>
    </row>
    <row r="2745" spans="1:20" ht="11.85" customHeight="1" x14ac:dyDescent="0.2">
      <c r="C2745" s="5" t="str">
        <f>$C$7</f>
        <v>2020-2021</v>
      </c>
      <c r="D2745" s="5"/>
      <c r="E2745" s="5" t="str">
        <f>$E$7</f>
        <v>2021-2022</v>
      </c>
      <c r="F2745" s="5"/>
      <c r="G2745" s="5" t="str">
        <f>$G$7</f>
        <v>2022-2023</v>
      </c>
      <c r="H2745" s="5"/>
      <c r="I2745" s="5" t="s">
        <v>9</v>
      </c>
      <c r="J2745" s="5"/>
      <c r="K2745" s="5" t="str">
        <f>+$K$7</f>
        <v>PROJECTED</v>
      </c>
      <c r="L2745" s="6"/>
      <c r="M2745" s="5">
        <f>$M$7</f>
        <v>0</v>
      </c>
      <c r="N2745" s="6"/>
      <c r="O2745" s="5" t="str">
        <f>$O$7</f>
        <v>2024-2025</v>
      </c>
      <c r="P2745" s="6"/>
      <c r="Q2745" s="5" t="str">
        <f>$Q$7</f>
        <v>APPROVED</v>
      </c>
    </row>
    <row r="2746" spans="1:20" ht="11.85" customHeight="1" x14ac:dyDescent="0.2">
      <c r="A2746" s="7" t="s">
        <v>273</v>
      </c>
      <c r="C2746" s="8" t="s">
        <v>12</v>
      </c>
      <c r="D2746" s="5"/>
      <c r="E2746" s="8" t="s">
        <v>12</v>
      </c>
      <c r="F2746" s="5"/>
      <c r="G2746" s="8" t="s">
        <v>12</v>
      </c>
      <c r="H2746" s="5"/>
      <c r="I2746" s="8" t="s">
        <v>13</v>
      </c>
      <c r="J2746" s="5"/>
      <c r="K2746" s="8" t="s">
        <v>13</v>
      </c>
      <c r="L2746" s="6"/>
      <c r="M2746" s="8" t="str">
        <f>$M$8</f>
        <v>BASE</v>
      </c>
      <c r="N2746" s="6"/>
      <c r="O2746" s="8" t="str">
        <f>$O$8</f>
        <v>SUPPLEMENTAL</v>
      </c>
      <c r="P2746" s="6"/>
      <c r="Q2746" s="8" t="str">
        <f>$Q$8</f>
        <v>BUDGET</v>
      </c>
    </row>
    <row r="2747" spans="1:20" ht="11.85" customHeight="1" x14ac:dyDescent="0.2"/>
    <row r="2748" spans="1:20" ht="11.85" customHeight="1" x14ac:dyDescent="0.2">
      <c r="A2748" s="10" t="s">
        <v>274</v>
      </c>
    </row>
    <row r="2749" spans="1:20" ht="11.85" customHeight="1" x14ac:dyDescent="0.2">
      <c r="A2749" s="3" t="s">
        <v>1248</v>
      </c>
      <c r="C2749" s="2">
        <v>0</v>
      </c>
      <c r="E2749" s="2">
        <v>0</v>
      </c>
      <c r="G2749" s="2">
        <v>0</v>
      </c>
      <c r="I2749" s="2">
        <v>0</v>
      </c>
      <c r="K2749" s="2">
        <v>0</v>
      </c>
      <c r="L2749" s="9"/>
      <c r="M2749" s="2">
        <v>0</v>
      </c>
      <c r="N2749" s="9"/>
      <c r="O2749" s="2">
        <v>0</v>
      </c>
      <c r="P2749" s="9"/>
      <c r="Q2749" s="2">
        <f t="shared" ref="Q2749:Q2757" si="85">M2749+O2749</f>
        <v>0</v>
      </c>
      <c r="T2749" s="11"/>
    </row>
    <row r="2750" spans="1:20" ht="11.85" customHeight="1" x14ac:dyDescent="0.2">
      <c r="A2750" s="3" t="s">
        <v>1249</v>
      </c>
      <c r="C2750" s="2">
        <v>0</v>
      </c>
      <c r="E2750" s="2">
        <v>0</v>
      </c>
      <c r="G2750" s="2">
        <v>0</v>
      </c>
      <c r="I2750" s="2">
        <v>0</v>
      </c>
      <c r="K2750" s="2">
        <v>0</v>
      </c>
      <c r="L2750" s="9"/>
      <c r="M2750" s="2">
        <v>0</v>
      </c>
      <c r="N2750" s="9"/>
      <c r="O2750" s="2">
        <v>0</v>
      </c>
      <c r="P2750" s="9"/>
      <c r="Q2750" s="2">
        <f t="shared" si="85"/>
        <v>0</v>
      </c>
      <c r="T2750" s="11"/>
    </row>
    <row r="2751" spans="1:20" ht="11.85" customHeight="1" x14ac:dyDescent="0.2">
      <c r="A2751" s="3" t="s">
        <v>1250</v>
      </c>
      <c r="C2751" s="2">
        <v>0</v>
      </c>
      <c r="E2751" s="2">
        <v>0</v>
      </c>
      <c r="G2751" s="2">
        <v>0</v>
      </c>
      <c r="I2751" s="2">
        <v>0</v>
      </c>
      <c r="K2751" s="2">
        <v>0</v>
      </c>
      <c r="L2751" s="9"/>
      <c r="M2751" s="2">
        <v>0</v>
      </c>
      <c r="N2751" s="9"/>
      <c r="O2751" s="2">
        <v>0</v>
      </c>
      <c r="P2751" s="9"/>
      <c r="Q2751" s="2">
        <f>M2751+O2751</f>
        <v>0</v>
      </c>
      <c r="T2751" s="11"/>
    </row>
    <row r="2752" spans="1:20" ht="11.85" customHeight="1" x14ac:dyDescent="0.2">
      <c r="A2752" s="3" t="s">
        <v>1251</v>
      </c>
      <c r="C2752" s="2">
        <v>0</v>
      </c>
      <c r="E2752" s="2">
        <v>0</v>
      </c>
      <c r="G2752" s="2">
        <v>0</v>
      </c>
      <c r="I2752" s="2">
        <v>0</v>
      </c>
      <c r="K2752" s="2">
        <v>0</v>
      </c>
      <c r="L2752" s="9"/>
      <c r="M2752" s="2">
        <v>0</v>
      </c>
      <c r="N2752" s="9"/>
      <c r="O2752" s="2">
        <v>0</v>
      </c>
      <c r="P2752" s="9"/>
      <c r="Q2752" s="2">
        <f t="shared" si="85"/>
        <v>0</v>
      </c>
      <c r="T2752" s="11"/>
    </row>
    <row r="2753" spans="1:21" ht="11.85" customHeight="1" x14ac:dyDescent="0.2">
      <c r="A2753" s="3" t="s">
        <v>1252</v>
      </c>
      <c r="C2753" s="2">
        <v>0</v>
      </c>
      <c r="E2753" s="2">
        <v>0</v>
      </c>
      <c r="G2753" s="2">
        <v>0</v>
      </c>
      <c r="I2753" s="2">
        <v>0</v>
      </c>
      <c r="K2753" s="2">
        <v>0</v>
      </c>
      <c r="L2753" s="9"/>
      <c r="M2753" s="2">
        <v>0</v>
      </c>
      <c r="N2753" s="9"/>
      <c r="O2753" s="2">
        <v>0</v>
      </c>
      <c r="P2753" s="9"/>
      <c r="Q2753" s="2">
        <f t="shared" si="85"/>
        <v>0</v>
      </c>
      <c r="T2753" s="11"/>
    </row>
    <row r="2754" spans="1:21" ht="11.85" customHeight="1" x14ac:dyDescent="0.2">
      <c r="A2754" s="3" t="s">
        <v>1253</v>
      </c>
      <c r="C2754" s="2">
        <v>0</v>
      </c>
      <c r="E2754" s="2">
        <v>0</v>
      </c>
      <c r="G2754" s="2">
        <v>0</v>
      </c>
      <c r="I2754" s="2">
        <v>0</v>
      </c>
      <c r="K2754" s="2">
        <v>0</v>
      </c>
      <c r="L2754" s="9"/>
      <c r="M2754" s="2">
        <v>0</v>
      </c>
      <c r="N2754" s="9"/>
      <c r="O2754" s="2">
        <v>0</v>
      </c>
      <c r="P2754" s="9"/>
      <c r="Q2754" s="2">
        <f t="shared" si="85"/>
        <v>0</v>
      </c>
      <c r="T2754" s="11"/>
    </row>
    <row r="2755" spans="1:21" ht="11.85" customHeight="1" x14ac:dyDescent="0.2">
      <c r="A2755" s="3" t="s">
        <v>1254</v>
      </c>
      <c r="C2755" s="2">
        <v>0</v>
      </c>
      <c r="E2755" s="2">
        <v>0</v>
      </c>
      <c r="G2755" s="2">
        <v>0</v>
      </c>
      <c r="I2755" s="2">
        <v>0</v>
      </c>
      <c r="K2755" s="2">
        <v>0</v>
      </c>
      <c r="L2755" s="9"/>
      <c r="M2755" s="2">
        <v>0</v>
      </c>
      <c r="N2755" s="9"/>
      <c r="O2755" s="2">
        <v>0</v>
      </c>
      <c r="P2755" s="9"/>
      <c r="Q2755" s="2">
        <f t="shared" si="85"/>
        <v>0</v>
      </c>
      <c r="T2755" s="11"/>
    </row>
    <row r="2756" spans="1:21" ht="11.85" customHeight="1" x14ac:dyDescent="0.2">
      <c r="A2756" s="3" t="s">
        <v>1255</v>
      </c>
      <c r="C2756" s="2">
        <v>0</v>
      </c>
      <c r="E2756" s="2">
        <v>0</v>
      </c>
      <c r="G2756" s="2">
        <v>0</v>
      </c>
      <c r="I2756" s="2">
        <v>0</v>
      </c>
      <c r="K2756" s="2">
        <v>0</v>
      </c>
      <c r="L2756" s="9"/>
      <c r="M2756" s="2">
        <v>0</v>
      </c>
      <c r="N2756" s="9"/>
      <c r="O2756" s="2">
        <v>0</v>
      </c>
      <c r="P2756" s="9"/>
      <c r="Q2756" s="2">
        <f t="shared" si="85"/>
        <v>0</v>
      </c>
      <c r="T2756" s="11"/>
    </row>
    <row r="2757" spans="1:21" ht="11.85" customHeight="1" x14ac:dyDescent="0.2">
      <c r="A2757" s="3" t="s">
        <v>1256</v>
      </c>
      <c r="C2757" s="12">
        <v>0</v>
      </c>
      <c r="E2757" s="12">
        <v>0</v>
      </c>
      <c r="G2757" s="12">
        <v>0</v>
      </c>
      <c r="I2757" s="12">
        <v>0</v>
      </c>
      <c r="K2757" s="12">
        <v>0</v>
      </c>
      <c r="L2757" s="9"/>
      <c r="M2757" s="12">
        <v>0</v>
      </c>
      <c r="N2757" s="9"/>
      <c r="O2757" s="12">
        <v>0</v>
      </c>
      <c r="P2757" s="9"/>
      <c r="Q2757" s="12">
        <f t="shared" si="85"/>
        <v>0</v>
      </c>
      <c r="T2757" s="11"/>
    </row>
    <row r="2758" spans="1:21" ht="11.85" customHeight="1" x14ac:dyDescent="0.2">
      <c r="A2758" s="3" t="s">
        <v>285</v>
      </c>
      <c r="C2758" s="2">
        <f>SUM(C2749:C2757)</f>
        <v>0</v>
      </c>
      <c r="E2758" s="2">
        <f>SUM(E2749:E2757)</f>
        <v>0</v>
      </c>
      <c r="G2758" s="2">
        <f>SUM(G2749:G2757)</f>
        <v>0</v>
      </c>
      <c r="I2758" s="2">
        <f>SUM(I2749:I2757)</f>
        <v>0</v>
      </c>
      <c r="K2758" s="2">
        <f>SUM(K2749:K2757)</f>
        <v>0</v>
      </c>
      <c r="L2758" s="9"/>
      <c r="M2758" s="2">
        <f>SUM(M2749:M2757)</f>
        <v>0</v>
      </c>
      <c r="N2758" s="9"/>
      <c r="O2758" s="2">
        <f>SUM(O2749:O2757)</f>
        <v>0</v>
      </c>
      <c r="P2758" s="9"/>
      <c r="Q2758" s="2">
        <f>SUM(Q2749:Q2757)</f>
        <v>0</v>
      </c>
      <c r="R2758" s="9"/>
      <c r="U2758" s="9"/>
    </row>
    <row r="2759" spans="1:21" ht="11.85" customHeight="1" x14ac:dyDescent="0.2">
      <c r="L2759" s="9"/>
      <c r="N2759" s="9"/>
      <c r="P2759" s="9"/>
    </row>
    <row r="2760" spans="1:21" ht="11.85" customHeight="1" x14ac:dyDescent="0.2">
      <c r="A2760" s="10" t="s">
        <v>286</v>
      </c>
      <c r="L2760" s="9"/>
      <c r="N2760" s="9"/>
      <c r="P2760" s="9"/>
    </row>
    <row r="2761" spans="1:21" ht="11.85" customHeight="1" x14ac:dyDescent="0.2">
      <c r="A2761" s="3" t="s">
        <v>1257</v>
      </c>
      <c r="C2761" s="2">
        <v>0</v>
      </c>
      <c r="E2761" s="2">
        <v>0</v>
      </c>
      <c r="G2761" s="2">
        <v>0</v>
      </c>
      <c r="I2761" s="2">
        <v>0</v>
      </c>
      <c r="K2761" s="2">
        <v>0</v>
      </c>
      <c r="L2761" s="9"/>
      <c r="M2761" s="2">
        <v>0</v>
      </c>
      <c r="N2761" s="9"/>
      <c r="O2761" s="2">
        <v>0</v>
      </c>
      <c r="P2761" s="9"/>
      <c r="Q2761" s="2">
        <f t="shared" ref="Q2761:Q2773" si="86">M2761+O2761</f>
        <v>0</v>
      </c>
      <c r="T2761" s="11"/>
    </row>
    <row r="2762" spans="1:21" ht="11.85" customHeight="1" x14ac:dyDescent="0.2">
      <c r="A2762" s="3" t="s">
        <v>1258</v>
      </c>
      <c r="C2762" s="2">
        <v>0</v>
      </c>
      <c r="E2762" s="2">
        <v>0</v>
      </c>
      <c r="G2762" s="2">
        <v>0</v>
      </c>
      <c r="I2762" s="2">
        <v>0</v>
      </c>
      <c r="K2762" s="2">
        <v>0</v>
      </c>
      <c r="L2762" s="9"/>
      <c r="M2762" s="2">
        <v>0</v>
      </c>
      <c r="N2762" s="9"/>
      <c r="O2762" s="2">
        <v>0</v>
      </c>
      <c r="P2762" s="9"/>
      <c r="Q2762" s="2">
        <f t="shared" si="86"/>
        <v>0</v>
      </c>
      <c r="T2762" s="11"/>
    </row>
    <row r="2763" spans="1:21" ht="11.85" customHeight="1" x14ac:dyDescent="0.2">
      <c r="A2763" s="3" t="s">
        <v>1259</v>
      </c>
      <c r="C2763" s="2">
        <v>0</v>
      </c>
      <c r="E2763" s="2">
        <v>0</v>
      </c>
      <c r="G2763" s="2">
        <v>0</v>
      </c>
      <c r="I2763" s="2">
        <v>0</v>
      </c>
      <c r="K2763" s="2">
        <v>0</v>
      </c>
      <c r="L2763" s="9"/>
      <c r="M2763" s="2">
        <v>0</v>
      </c>
      <c r="N2763" s="9"/>
      <c r="O2763" s="2">
        <v>0</v>
      </c>
      <c r="P2763" s="9"/>
      <c r="Q2763" s="2">
        <f t="shared" si="86"/>
        <v>0</v>
      </c>
      <c r="T2763" s="11"/>
    </row>
    <row r="2764" spans="1:21" ht="11.85" customHeight="1" x14ac:dyDescent="0.2">
      <c r="A2764" s="3" t="s">
        <v>1260</v>
      </c>
      <c r="C2764" s="2">
        <v>0</v>
      </c>
      <c r="E2764" s="2">
        <v>0</v>
      </c>
      <c r="G2764" s="2">
        <v>0</v>
      </c>
      <c r="I2764" s="2">
        <v>0</v>
      </c>
      <c r="K2764" s="2">
        <v>0</v>
      </c>
      <c r="L2764" s="9"/>
      <c r="M2764" s="2">
        <v>0</v>
      </c>
      <c r="N2764" s="9"/>
      <c r="O2764" s="2">
        <v>0</v>
      </c>
      <c r="P2764" s="9"/>
      <c r="Q2764" s="2">
        <f t="shared" si="86"/>
        <v>0</v>
      </c>
      <c r="T2764" s="11"/>
    </row>
    <row r="2765" spans="1:21" ht="11.85" hidden="1" customHeight="1" x14ac:dyDescent="0.2">
      <c r="A2765" s="3" t="s">
        <v>1261</v>
      </c>
      <c r="C2765" s="2">
        <v>0</v>
      </c>
      <c r="E2765" s="2">
        <v>0</v>
      </c>
      <c r="G2765" s="2">
        <v>0</v>
      </c>
      <c r="I2765" s="2">
        <v>0</v>
      </c>
      <c r="K2765" s="2">
        <v>0</v>
      </c>
      <c r="L2765" s="9"/>
      <c r="M2765" s="2">
        <v>0</v>
      </c>
      <c r="N2765" s="9"/>
      <c r="O2765" s="2">
        <v>0</v>
      </c>
      <c r="P2765" s="9"/>
      <c r="Q2765" s="2">
        <f t="shared" si="86"/>
        <v>0</v>
      </c>
      <c r="T2765" s="11"/>
    </row>
    <row r="2766" spans="1:21" ht="11.85" hidden="1" customHeight="1" x14ac:dyDescent="0.2">
      <c r="A2766" s="3" t="s">
        <v>1262</v>
      </c>
      <c r="C2766" s="2">
        <v>0</v>
      </c>
      <c r="E2766" s="2">
        <v>0</v>
      </c>
      <c r="G2766" s="2">
        <v>0</v>
      </c>
      <c r="I2766" s="2">
        <v>0</v>
      </c>
      <c r="K2766" s="2">
        <v>0</v>
      </c>
      <c r="L2766" s="9"/>
      <c r="M2766" s="2">
        <v>0</v>
      </c>
      <c r="N2766" s="9"/>
      <c r="O2766" s="2">
        <v>0</v>
      </c>
      <c r="P2766" s="9"/>
      <c r="Q2766" s="2">
        <f t="shared" si="86"/>
        <v>0</v>
      </c>
      <c r="T2766" s="11"/>
    </row>
    <row r="2767" spans="1:21" ht="11.85" customHeight="1" x14ac:dyDescent="0.2">
      <c r="A2767" s="3" t="s">
        <v>1263</v>
      </c>
      <c r="C2767" s="2">
        <v>0</v>
      </c>
      <c r="E2767" s="2">
        <v>0</v>
      </c>
      <c r="G2767" s="2">
        <v>0</v>
      </c>
      <c r="I2767" s="2">
        <v>0</v>
      </c>
      <c r="K2767" s="2">
        <v>0</v>
      </c>
      <c r="L2767" s="9"/>
      <c r="M2767" s="2">
        <v>0</v>
      </c>
      <c r="N2767" s="9"/>
      <c r="O2767" s="2">
        <v>0</v>
      </c>
      <c r="P2767" s="9"/>
      <c r="Q2767" s="2">
        <f t="shared" si="86"/>
        <v>0</v>
      </c>
      <c r="T2767" s="11"/>
    </row>
    <row r="2768" spans="1:21" ht="11.85" customHeight="1" x14ac:dyDescent="0.2">
      <c r="A2768" s="3" t="s">
        <v>1264</v>
      </c>
      <c r="C2768" s="2">
        <v>0</v>
      </c>
      <c r="E2768" s="2">
        <v>0</v>
      </c>
      <c r="G2768" s="2">
        <v>0</v>
      </c>
      <c r="I2768" s="2">
        <v>0</v>
      </c>
      <c r="K2768" s="2">
        <v>0</v>
      </c>
      <c r="L2768" s="9"/>
      <c r="M2768" s="2">
        <v>0</v>
      </c>
      <c r="N2768" s="9"/>
      <c r="O2768" s="2">
        <v>0</v>
      </c>
      <c r="P2768" s="9"/>
      <c r="Q2768" s="2">
        <f t="shared" si="86"/>
        <v>0</v>
      </c>
      <c r="T2768" s="11"/>
    </row>
    <row r="2769" spans="1:20" ht="11.85" customHeight="1" x14ac:dyDescent="0.2">
      <c r="A2769" s="3" t="s">
        <v>1265</v>
      </c>
      <c r="C2769" s="2">
        <v>0</v>
      </c>
      <c r="E2769" s="2">
        <v>0</v>
      </c>
      <c r="G2769" s="2">
        <v>0</v>
      </c>
      <c r="I2769" s="2">
        <v>0</v>
      </c>
      <c r="K2769" s="2">
        <v>0</v>
      </c>
      <c r="L2769" s="9"/>
      <c r="M2769" s="2">
        <v>0</v>
      </c>
      <c r="N2769" s="9"/>
      <c r="O2769" s="2">
        <v>0</v>
      </c>
      <c r="P2769" s="9"/>
      <c r="Q2769" s="2">
        <f t="shared" si="86"/>
        <v>0</v>
      </c>
      <c r="T2769" s="11"/>
    </row>
    <row r="2770" spans="1:20" ht="11.85" customHeight="1" x14ac:dyDescent="0.2">
      <c r="A2770" s="3" t="s">
        <v>1266</v>
      </c>
      <c r="C2770" s="2">
        <v>0</v>
      </c>
      <c r="E2770" s="2">
        <v>0</v>
      </c>
      <c r="G2770" s="2">
        <v>0</v>
      </c>
      <c r="I2770" s="2">
        <v>0</v>
      </c>
      <c r="K2770" s="2">
        <v>0</v>
      </c>
      <c r="L2770" s="9"/>
      <c r="M2770" s="2">
        <v>0</v>
      </c>
      <c r="N2770" s="9"/>
      <c r="O2770" s="2">
        <v>0</v>
      </c>
      <c r="P2770" s="9"/>
      <c r="Q2770" s="2">
        <f t="shared" si="86"/>
        <v>0</v>
      </c>
      <c r="T2770" s="11"/>
    </row>
    <row r="2771" spans="1:20" ht="11.85" customHeight="1" x14ac:dyDescent="0.2">
      <c r="A2771" s="3" t="s">
        <v>1267</v>
      </c>
      <c r="C2771" s="2">
        <v>0</v>
      </c>
      <c r="E2771" s="2">
        <v>0</v>
      </c>
      <c r="G2771" s="2">
        <v>0</v>
      </c>
      <c r="I2771" s="2">
        <v>0</v>
      </c>
      <c r="K2771" s="2">
        <v>0</v>
      </c>
      <c r="L2771" s="9"/>
      <c r="M2771" s="2">
        <v>0</v>
      </c>
      <c r="N2771" s="9"/>
      <c r="O2771" s="2">
        <v>0</v>
      </c>
      <c r="P2771" s="9"/>
      <c r="Q2771" s="2">
        <f t="shared" si="86"/>
        <v>0</v>
      </c>
      <c r="T2771" s="11"/>
    </row>
    <row r="2772" spans="1:20" ht="11.85" customHeight="1" x14ac:dyDescent="0.2">
      <c r="A2772" s="3" t="s">
        <v>1268</v>
      </c>
      <c r="C2772" s="2">
        <v>0</v>
      </c>
      <c r="E2772" s="2">
        <v>0</v>
      </c>
      <c r="G2772" s="2">
        <v>0</v>
      </c>
      <c r="I2772" s="2">
        <v>0</v>
      </c>
      <c r="K2772" s="2">
        <v>0</v>
      </c>
      <c r="L2772" s="9"/>
      <c r="M2772" s="2">
        <v>0</v>
      </c>
      <c r="N2772" s="9"/>
      <c r="O2772" s="2">
        <v>0</v>
      </c>
      <c r="P2772" s="9"/>
      <c r="Q2772" s="2">
        <f t="shared" si="86"/>
        <v>0</v>
      </c>
      <c r="T2772" s="11"/>
    </row>
    <row r="2773" spans="1:20" ht="11.85" customHeight="1" x14ac:dyDescent="0.2">
      <c r="A2773" s="3" t="s">
        <v>1269</v>
      </c>
      <c r="C2773" s="12">
        <v>0</v>
      </c>
      <c r="E2773" s="12">
        <v>0</v>
      </c>
      <c r="G2773" s="12">
        <v>0</v>
      </c>
      <c r="I2773" s="12">
        <v>0</v>
      </c>
      <c r="K2773" s="12">
        <v>0</v>
      </c>
      <c r="L2773" s="9"/>
      <c r="M2773" s="12">
        <v>0</v>
      </c>
      <c r="N2773" s="9"/>
      <c r="O2773" s="12">
        <v>0</v>
      </c>
      <c r="P2773" s="9"/>
      <c r="Q2773" s="12">
        <f t="shared" si="86"/>
        <v>0</v>
      </c>
      <c r="T2773" s="11"/>
    </row>
    <row r="2774" spans="1:20" ht="11.85" customHeight="1" x14ac:dyDescent="0.2">
      <c r="A2774" s="3" t="s">
        <v>304</v>
      </c>
      <c r="C2774" s="2">
        <f>SUM(C2761:C2773)</f>
        <v>0</v>
      </c>
      <c r="E2774" s="2">
        <f>SUM(E2761:E2773)</f>
        <v>0</v>
      </c>
      <c r="G2774" s="2">
        <f>SUM(G2761:G2773)</f>
        <v>0</v>
      </c>
      <c r="I2774" s="2">
        <f>SUM(I2761:I2773)</f>
        <v>0</v>
      </c>
      <c r="K2774" s="2">
        <f>SUM(K2761:K2773)</f>
        <v>0</v>
      </c>
      <c r="L2774" s="9"/>
      <c r="M2774" s="2">
        <f>SUM(M2761:M2773)</f>
        <v>0</v>
      </c>
      <c r="N2774" s="9"/>
      <c r="O2774" s="2">
        <f>SUM(O2761:O2773)</f>
        <v>0</v>
      </c>
      <c r="P2774" s="9"/>
      <c r="Q2774" s="2">
        <f>SUM(Q2761:Q2773)</f>
        <v>0</v>
      </c>
    </row>
    <row r="2775" spans="1:20" ht="11.85" customHeight="1" x14ac:dyDescent="0.2">
      <c r="L2775" s="9"/>
      <c r="N2775" s="9"/>
      <c r="P2775" s="9"/>
    </row>
    <row r="2776" spans="1:20" ht="11.85" customHeight="1" x14ac:dyDescent="0.2">
      <c r="A2776" s="10" t="s">
        <v>305</v>
      </c>
      <c r="L2776" s="9"/>
      <c r="N2776" s="9"/>
      <c r="P2776" s="9"/>
    </row>
    <row r="2777" spans="1:20" ht="11.85" customHeight="1" x14ac:dyDescent="0.2">
      <c r="A2777" s="3" t="s">
        <v>1270</v>
      </c>
      <c r="C2777" s="2">
        <v>0</v>
      </c>
      <c r="E2777" s="2">
        <v>0</v>
      </c>
      <c r="G2777" s="2">
        <v>0</v>
      </c>
      <c r="I2777" s="2">
        <v>0</v>
      </c>
      <c r="K2777" s="2">
        <v>0</v>
      </c>
      <c r="L2777" s="9"/>
      <c r="M2777" s="2">
        <v>0</v>
      </c>
      <c r="N2777" s="9"/>
      <c r="O2777" s="2">
        <v>0</v>
      </c>
      <c r="P2777" s="9"/>
      <c r="Q2777" s="2">
        <f t="shared" ref="Q2777:Q2795" si="87">M2777+O2777</f>
        <v>0</v>
      </c>
      <c r="T2777" s="11"/>
    </row>
    <row r="2778" spans="1:20" ht="11.85" customHeight="1" x14ac:dyDescent="0.2">
      <c r="A2778" s="3" t="s">
        <v>1271</v>
      </c>
      <c r="C2778" s="2">
        <v>0</v>
      </c>
      <c r="E2778" s="2">
        <v>0</v>
      </c>
      <c r="G2778" s="2">
        <v>0</v>
      </c>
      <c r="I2778" s="2">
        <v>0</v>
      </c>
      <c r="K2778" s="2">
        <v>0</v>
      </c>
      <c r="L2778" s="9"/>
      <c r="M2778" s="2">
        <v>0</v>
      </c>
      <c r="N2778" s="9"/>
      <c r="O2778" s="2">
        <v>0</v>
      </c>
      <c r="P2778" s="9"/>
      <c r="Q2778" s="2">
        <f t="shared" si="87"/>
        <v>0</v>
      </c>
      <c r="T2778" s="11"/>
    </row>
    <row r="2779" spans="1:20" ht="11.85" customHeight="1" x14ac:dyDescent="0.2">
      <c r="A2779" s="3" t="s">
        <v>1272</v>
      </c>
      <c r="C2779" s="2">
        <v>0</v>
      </c>
      <c r="E2779" s="2">
        <v>0</v>
      </c>
      <c r="G2779" s="2">
        <v>0</v>
      </c>
      <c r="I2779" s="2">
        <v>0</v>
      </c>
      <c r="K2779" s="2">
        <v>0</v>
      </c>
      <c r="L2779" s="9"/>
      <c r="M2779" s="2">
        <v>0</v>
      </c>
      <c r="N2779" s="9"/>
      <c r="O2779" s="2">
        <v>0</v>
      </c>
      <c r="P2779" s="9"/>
      <c r="Q2779" s="2">
        <f t="shared" si="87"/>
        <v>0</v>
      </c>
      <c r="T2779" s="11"/>
    </row>
    <row r="2780" spans="1:20" ht="11.85" customHeight="1" x14ac:dyDescent="0.2">
      <c r="A2780" s="3" t="s">
        <v>1273</v>
      </c>
      <c r="C2780" s="2">
        <v>0</v>
      </c>
      <c r="E2780" s="2">
        <v>0</v>
      </c>
      <c r="G2780" s="2">
        <v>0</v>
      </c>
      <c r="I2780" s="2">
        <v>0</v>
      </c>
      <c r="K2780" s="2">
        <v>0</v>
      </c>
      <c r="L2780" s="9"/>
      <c r="M2780" s="2">
        <v>0</v>
      </c>
      <c r="N2780" s="9"/>
      <c r="O2780" s="2">
        <v>0</v>
      </c>
      <c r="P2780" s="9"/>
      <c r="Q2780" s="2">
        <f t="shared" si="87"/>
        <v>0</v>
      </c>
      <c r="T2780" s="11"/>
    </row>
    <row r="2781" spans="1:20" ht="11.85" customHeight="1" x14ac:dyDescent="0.2">
      <c r="A2781" s="3" t="s">
        <v>1274</v>
      </c>
      <c r="C2781" s="2">
        <v>0</v>
      </c>
      <c r="E2781" s="2">
        <v>0</v>
      </c>
      <c r="G2781" s="2">
        <v>0</v>
      </c>
      <c r="I2781" s="2">
        <v>0</v>
      </c>
      <c r="K2781" s="2">
        <v>0</v>
      </c>
      <c r="L2781" s="9"/>
      <c r="M2781" s="2">
        <v>0</v>
      </c>
      <c r="N2781" s="9"/>
      <c r="O2781" s="2">
        <v>0</v>
      </c>
      <c r="P2781" s="9"/>
      <c r="Q2781" s="2">
        <f t="shared" si="87"/>
        <v>0</v>
      </c>
      <c r="T2781" s="11"/>
    </row>
    <row r="2782" spans="1:20" ht="11.85" customHeight="1" x14ac:dyDescent="0.2">
      <c r="A2782" s="3" t="s">
        <v>1275</v>
      </c>
      <c r="C2782" s="2">
        <v>0</v>
      </c>
      <c r="E2782" s="2">
        <v>0</v>
      </c>
      <c r="G2782" s="2">
        <v>0</v>
      </c>
      <c r="I2782" s="2">
        <v>0</v>
      </c>
      <c r="K2782" s="2">
        <v>0</v>
      </c>
      <c r="L2782" s="9"/>
      <c r="M2782" s="2">
        <v>0</v>
      </c>
      <c r="N2782" s="9"/>
      <c r="O2782" s="2">
        <v>0</v>
      </c>
      <c r="P2782" s="9"/>
      <c r="Q2782" s="2">
        <f t="shared" si="87"/>
        <v>0</v>
      </c>
      <c r="T2782" s="11"/>
    </row>
    <row r="2783" spans="1:20" ht="11.85" customHeight="1" x14ac:dyDescent="0.2">
      <c r="A2783" s="3" t="s">
        <v>1276</v>
      </c>
      <c r="C2783" s="2">
        <v>0</v>
      </c>
      <c r="E2783" s="2">
        <v>0</v>
      </c>
      <c r="G2783" s="2">
        <v>0</v>
      </c>
      <c r="I2783" s="2">
        <v>0</v>
      </c>
      <c r="K2783" s="2">
        <v>0</v>
      </c>
      <c r="L2783" s="9"/>
      <c r="M2783" s="2">
        <v>0</v>
      </c>
      <c r="N2783" s="9"/>
      <c r="O2783" s="2">
        <v>0</v>
      </c>
      <c r="P2783" s="9"/>
      <c r="Q2783" s="2">
        <f t="shared" si="87"/>
        <v>0</v>
      </c>
      <c r="T2783" s="11"/>
    </row>
    <row r="2784" spans="1:20" ht="11.85" customHeight="1" x14ac:dyDescent="0.2">
      <c r="A2784" s="3" t="s">
        <v>1277</v>
      </c>
      <c r="C2784" s="2">
        <v>0</v>
      </c>
      <c r="E2784" s="2">
        <v>0</v>
      </c>
      <c r="G2784" s="2">
        <v>0</v>
      </c>
      <c r="I2784" s="2">
        <v>0</v>
      </c>
      <c r="K2784" s="2">
        <v>0</v>
      </c>
      <c r="L2784" s="9"/>
      <c r="M2784" s="2">
        <v>0</v>
      </c>
      <c r="N2784" s="9"/>
      <c r="O2784" s="2">
        <v>0</v>
      </c>
      <c r="P2784" s="9"/>
      <c r="Q2784" s="2">
        <f t="shared" si="87"/>
        <v>0</v>
      </c>
      <c r="T2784" s="11"/>
    </row>
    <row r="2785" spans="1:20" ht="11.85" customHeight="1" x14ac:dyDescent="0.2">
      <c r="A2785" s="3" t="s">
        <v>1278</v>
      </c>
      <c r="C2785" s="2">
        <v>0</v>
      </c>
      <c r="E2785" s="2">
        <v>0</v>
      </c>
      <c r="G2785" s="2">
        <v>0</v>
      </c>
      <c r="I2785" s="2">
        <v>0</v>
      </c>
      <c r="K2785" s="2">
        <v>0</v>
      </c>
      <c r="L2785" s="9"/>
      <c r="M2785" s="2">
        <v>0</v>
      </c>
      <c r="N2785" s="9"/>
      <c r="O2785" s="2">
        <v>0</v>
      </c>
      <c r="P2785" s="9"/>
      <c r="Q2785" s="2">
        <f t="shared" si="87"/>
        <v>0</v>
      </c>
      <c r="T2785" s="11"/>
    </row>
    <row r="2786" spans="1:20" ht="11.85" customHeight="1" x14ac:dyDescent="0.2">
      <c r="A2786" s="3" t="s">
        <v>1279</v>
      </c>
      <c r="C2786" s="2">
        <v>0</v>
      </c>
      <c r="E2786" s="2">
        <v>0</v>
      </c>
      <c r="G2786" s="2">
        <v>0</v>
      </c>
      <c r="I2786" s="2">
        <v>0</v>
      </c>
      <c r="K2786" s="2">
        <v>0</v>
      </c>
      <c r="L2786" s="9"/>
      <c r="M2786" s="2">
        <v>0</v>
      </c>
      <c r="N2786" s="9"/>
      <c r="O2786" s="2">
        <v>0</v>
      </c>
      <c r="P2786" s="9"/>
      <c r="Q2786" s="2">
        <f t="shared" si="87"/>
        <v>0</v>
      </c>
      <c r="T2786" s="11"/>
    </row>
    <row r="2787" spans="1:20" ht="11.85" customHeight="1" x14ac:dyDescent="0.2">
      <c r="A2787" s="3" t="s">
        <v>1280</v>
      </c>
      <c r="C2787" s="2">
        <v>0</v>
      </c>
      <c r="E2787" s="2">
        <v>0</v>
      </c>
      <c r="G2787" s="2">
        <v>0</v>
      </c>
      <c r="I2787" s="2">
        <v>0</v>
      </c>
      <c r="K2787" s="2">
        <v>0</v>
      </c>
      <c r="L2787" s="9"/>
      <c r="M2787" s="2">
        <v>0</v>
      </c>
      <c r="N2787" s="9"/>
      <c r="O2787" s="2">
        <v>0</v>
      </c>
      <c r="P2787" s="9"/>
      <c r="Q2787" s="2">
        <f t="shared" si="87"/>
        <v>0</v>
      </c>
      <c r="T2787" s="11"/>
    </row>
    <row r="2788" spans="1:20" ht="11.85" customHeight="1" x14ac:dyDescent="0.2">
      <c r="A2788" s="3" t="s">
        <v>1281</v>
      </c>
      <c r="C2788" s="2">
        <v>0</v>
      </c>
      <c r="E2788" s="2">
        <v>0</v>
      </c>
      <c r="G2788" s="2">
        <v>0</v>
      </c>
      <c r="I2788" s="2">
        <v>0</v>
      </c>
      <c r="K2788" s="2">
        <v>0</v>
      </c>
      <c r="L2788" s="9"/>
      <c r="M2788" s="2">
        <v>0</v>
      </c>
      <c r="N2788" s="9"/>
      <c r="O2788" s="2">
        <v>0</v>
      </c>
      <c r="P2788" s="9"/>
      <c r="Q2788" s="2">
        <f t="shared" si="87"/>
        <v>0</v>
      </c>
      <c r="T2788" s="11"/>
    </row>
    <row r="2789" spans="1:20" ht="11.85" customHeight="1" x14ac:dyDescent="0.2">
      <c r="A2789" s="3" t="s">
        <v>1282</v>
      </c>
      <c r="C2789" s="2">
        <v>0</v>
      </c>
      <c r="E2789" s="2">
        <v>0</v>
      </c>
      <c r="G2789" s="2">
        <v>0</v>
      </c>
      <c r="I2789" s="2">
        <v>0</v>
      </c>
      <c r="K2789" s="2">
        <v>0</v>
      </c>
      <c r="L2789" s="9"/>
      <c r="M2789" s="2">
        <v>0</v>
      </c>
      <c r="N2789" s="9"/>
      <c r="O2789" s="2">
        <v>0</v>
      </c>
      <c r="P2789" s="9"/>
      <c r="Q2789" s="2">
        <f t="shared" si="87"/>
        <v>0</v>
      </c>
      <c r="T2789" s="11"/>
    </row>
    <row r="2790" spans="1:20" ht="11.85" hidden="1" customHeight="1" x14ac:dyDescent="0.2">
      <c r="A2790" s="3" t="s">
        <v>1283</v>
      </c>
      <c r="C2790" s="2">
        <v>0</v>
      </c>
      <c r="E2790" s="2">
        <v>0</v>
      </c>
      <c r="G2790" s="2">
        <v>0</v>
      </c>
      <c r="I2790" s="2">
        <v>0</v>
      </c>
      <c r="K2790" s="2">
        <v>0</v>
      </c>
      <c r="L2790" s="9"/>
      <c r="M2790" s="2">
        <v>0</v>
      </c>
      <c r="N2790" s="9"/>
      <c r="O2790" s="2">
        <v>0</v>
      </c>
      <c r="P2790" s="9"/>
      <c r="Q2790" s="2">
        <f t="shared" si="87"/>
        <v>0</v>
      </c>
      <c r="T2790" s="11"/>
    </row>
    <row r="2791" spans="1:20" ht="11.85" customHeight="1" x14ac:dyDescent="0.2">
      <c r="A2791" s="3" t="s">
        <v>1284</v>
      </c>
      <c r="C2791" s="2">
        <v>0</v>
      </c>
      <c r="E2791" s="2">
        <v>0</v>
      </c>
      <c r="G2791" s="2">
        <v>0</v>
      </c>
      <c r="I2791" s="2">
        <v>0</v>
      </c>
      <c r="K2791" s="2">
        <v>0</v>
      </c>
      <c r="L2791" s="9"/>
      <c r="M2791" s="2">
        <v>0</v>
      </c>
      <c r="N2791" s="9"/>
      <c r="O2791" s="2">
        <v>0</v>
      </c>
      <c r="P2791" s="9"/>
      <c r="Q2791" s="2">
        <f t="shared" si="87"/>
        <v>0</v>
      </c>
      <c r="T2791" s="11"/>
    </row>
    <row r="2792" spans="1:20" ht="11.85" customHeight="1" x14ac:dyDescent="0.2">
      <c r="A2792" s="3" t="s">
        <v>1285</v>
      </c>
      <c r="C2792" s="2">
        <v>0</v>
      </c>
      <c r="E2792" s="2">
        <v>0</v>
      </c>
      <c r="G2792" s="2">
        <v>0</v>
      </c>
      <c r="I2792" s="2">
        <v>0</v>
      </c>
      <c r="K2792" s="2">
        <v>0</v>
      </c>
      <c r="L2792" s="9"/>
      <c r="M2792" s="2">
        <v>0</v>
      </c>
      <c r="N2792" s="9"/>
      <c r="O2792" s="2">
        <v>0</v>
      </c>
      <c r="P2792" s="9"/>
      <c r="Q2792" s="2">
        <f t="shared" si="87"/>
        <v>0</v>
      </c>
      <c r="T2792" s="11"/>
    </row>
    <row r="2793" spans="1:20" ht="11.85" customHeight="1" x14ac:dyDescent="0.2">
      <c r="A2793" s="3" t="s">
        <v>1286</v>
      </c>
      <c r="C2793" s="2">
        <v>0</v>
      </c>
      <c r="E2793" s="2">
        <v>0</v>
      </c>
      <c r="G2793" s="2">
        <v>0</v>
      </c>
      <c r="I2793" s="2">
        <v>0</v>
      </c>
      <c r="K2793" s="2">
        <v>0</v>
      </c>
      <c r="L2793" s="9"/>
      <c r="M2793" s="2">
        <v>0</v>
      </c>
      <c r="N2793" s="9"/>
      <c r="O2793" s="2">
        <v>0</v>
      </c>
      <c r="P2793" s="9"/>
      <c r="Q2793" s="2">
        <f t="shared" si="87"/>
        <v>0</v>
      </c>
      <c r="T2793" s="11"/>
    </row>
    <row r="2794" spans="1:20" ht="11.85" hidden="1" customHeight="1" x14ac:dyDescent="0.2">
      <c r="A2794" s="3" t="s">
        <v>1287</v>
      </c>
      <c r="C2794" s="2">
        <v>0</v>
      </c>
      <c r="E2794" s="2">
        <v>0</v>
      </c>
      <c r="G2794" s="2">
        <v>0</v>
      </c>
      <c r="I2794" s="2">
        <v>0</v>
      </c>
      <c r="K2794" s="2">
        <v>0</v>
      </c>
      <c r="L2794" s="9"/>
      <c r="M2794" s="2">
        <v>0</v>
      </c>
      <c r="N2794" s="9"/>
      <c r="O2794" s="2">
        <v>0</v>
      </c>
      <c r="P2794" s="9"/>
      <c r="Q2794" s="2">
        <f t="shared" si="87"/>
        <v>0</v>
      </c>
      <c r="T2794" s="11"/>
    </row>
    <row r="2795" spans="1:20" ht="11.85" customHeight="1" x14ac:dyDescent="0.2">
      <c r="A2795" s="3" t="s">
        <v>1288</v>
      </c>
      <c r="C2795" s="2">
        <v>0</v>
      </c>
      <c r="E2795" s="2">
        <v>0</v>
      </c>
      <c r="G2795" s="2">
        <v>0</v>
      </c>
      <c r="I2795" s="2">
        <v>0</v>
      </c>
      <c r="K2795" s="2">
        <v>0</v>
      </c>
      <c r="L2795" s="9"/>
      <c r="M2795" s="2">
        <v>0</v>
      </c>
      <c r="N2795" s="9"/>
      <c r="O2795" s="2">
        <v>0</v>
      </c>
      <c r="P2795" s="9"/>
      <c r="Q2795" s="2">
        <f t="shared" si="87"/>
        <v>0</v>
      </c>
      <c r="T2795" s="11"/>
    </row>
    <row r="2796" spans="1:20" ht="11.85" customHeight="1" x14ac:dyDescent="0.2">
      <c r="A2796" s="3" t="s">
        <v>1289</v>
      </c>
      <c r="C2796" s="12">
        <v>0</v>
      </c>
      <c r="E2796" s="12">
        <v>0</v>
      </c>
      <c r="G2796" s="12">
        <v>0</v>
      </c>
      <c r="I2796" s="12">
        <v>0</v>
      </c>
      <c r="K2796" s="12">
        <v>0</v>
      </c>
      <c r="L2796" s="9"/>
      <c r="M2796" s="12">
        <v>0</v>
      </c>
      <c r="N2796" s="9"/>
      <c r="O2796" s="12">
        <v>0</v>
      </c>
      <c r="P2796" s="9"/>
      <c r="Q2796" s="12">
        <f>M2796+O2796</f>
        <v>0</v>
      </c>
      <c r="T2796" s="11"/>
    </row>
    <row r="2797" spans="1:20" ht="11.85" customHeight="1" x14ac:dyDescent="0.2">
      <c r="A2797" s="3" t="s">
        <v>328</v>
      </c>
      <c r="C2797" s="2">
        <f>SUM(C2777:C2783)+SUM(C2784:C2796)</f>
        <v>0</v>
      </c>
      <c r="E2797" s="2">
        <f>SUM(E2777:E2783)+SUM(E2784:E2796)</f>
        <v>0</v>
      </c>
      <c r="G2797" s="2">
        <f>SUM(G2777:G2783)+SUM(G2784:G2796)</f>
        <v>0</v>
      </c>
      <c r="I2797" s="2">
        <f>SUM(I2777:I2783)+SUM(I2784:I2796)</f>
        <v>0</v>
      </c>
      <c r="K2797" s="2">
        <f>SUM(K2777:K2783)+SUM(K2784:K2796)</f>
        <v>0</v>
      </c>
      <c r="L2797" s="9"/>
      <c r="M2797" s="2">
        <f>SUM(M2777:M2783)+SUM(M2784:M2796)</f>
        <v>0</v>
      </c>
      <c r="N2797" s="9"/>
      <c r="O2797" s="2">
        <f>SUM(O2777:O2783)+SUM(O2784:O2796)</f>
        <v>0</v>
      </c>
      <c r="P2797" s="9"/>
      <c r="Q2797" s="2">
        <f>SUM(Q2777:Q2783)+SUM(Q2784:Q2796)</f>
        <v>0</v>
      </c>
      <c r="R2797" s="9"/>
    </row>
    <row r="2798" spans="1:20" ht="11.85" customHeight="1" x14ac:dyDescent="0.2">
      <c r="L2798" s="9"/>
      <c r="N2798" s="9"/>
      <c r="P2798" s="9"/>
    </row>
    <row r="2799" spans="1:20" ht="11.85" customHeight="1" x14ac:dyDescent="0.2">
      <c r="A2799" s="3" t="s">
        <v>1290</v>
      </c>
      <c r="C2799" s="2">
        <v>0</v>
      </c>
      <c r="E2799" s="2">
        <v>0</v>
      </c>
      <c r="G2799" s="2">
        <v>0</v>
      </c>
      <c r="I2799" s="2">
        <v>0</v>
      </c>
      <c r="K2799" s="2">
        <v>0</v>
      </c>
      <c r="L2799" s="9"/>
      <c r="M2799" s="2">
        <v>0</v>
      </c>
      <c r="N2799" s="9"/>
      <c r="O2799" s="2">
        <v>0</v>
      </c>
      <c r="P2799" s="9"/>
      <c r="Q2799" s="2">
        <f>M2799+O2799</f>
        <v>0</v>
      </c>
    </row>
    <row r="2800" spans="1:20" ht="11.85" customHeight="1" x14ac:dyDescent="0.2">
      <c r="A2800" s="3" t="s">
        <v>1291</v>
      </c>
      <c r="C2800" s="12">
        <v>0</v>
      </c>
      <c r="E2800" s="12">
        <v>0</v>
      </c>
      <c r="G2800" s="12">
        <v>0</v>
      </c>
      <c r="I2800" s="12">
        <v>0</v>
      </c>
      <c r="K2800" s="12">
        <v>0</v>
      </c>
      <c r="L2800" s="9"/>
      <c r="M2800" s="12">
        <v>0</v>
      </c>
      <c r="N2800" s="9"/>
      <c r="O2800" s="12">
        <v>0</v>
      </c>
      <c r="P2800" s="9"/>
      <c r="Q2800" s="12">
        <v>0</v>
      </c>
    </row>
    <row r="2801" spans="1:17" ht="11.85" customHeight="1" x14ac:dyDescent="0.2">
      <c r="A2801" s="3" t="s">
        <v>331</v>
      </c>
      <c r="C2801" s="2">
        <f>SUM(C2799:C2800)</f>
        <v>0</v>
      </c>
      <c r="E2801" s="2">
        <f>SUM(E2799:E2800)</f>
        <v>0</v>
      </c>
      <c r="G2801" s="2">
        <f>SUM(G2799:G2800)</f>
        <v>0</v>
      </c>
      <c r="I2801" s="2">
        <f>SUM(I2799:I2800)</f>
        <v>0</v>
      </c>
      <c r="K2801" s="2">
        <f>SUM(K2799:K2800)</f>
        <v>0</v>
      </c>
      <c r="L2801" s="9"/>
      <c r="M2801" s="2">
        <f>SUM(M2799:M2800)</f>
        <v>0</v>
      </c>
      <c r="N2801" s="9"/>
      <c r="O2801" s="2">
        <f>SUM(O2799:O2800)</f>
        <v>0</v>
      </c>
      <c r="P2801" s="9"/>
      <c r="Q2801" s="2">
        <f>SUM(Q2799:Q2800)</f>
        <v>0</v>
      </c>
    </row>
    <row r="2802" spans="1:17" ht="11.85" customHeight="1" x14ac:dyDescent="0.2">
      <c r="L2802" s="9"/>
      <c r="N2802" s="9"/>
      <c r="P2802" s="9"/>
    </row>
    <row r="2803" spans="1:17" ht="11.85" customHeight="1" x14ac:dyDescent="0.2">
      <c r="A2803" s="1"/>
      <c r="B2803" s="1"/>
      <c r="E2803" s="2" t="str">
        <f>$E$1</f>
        <v>CITY OF BRADY</v>
      </c>
    </row>
    <row r="2804" spans="1:17" ht="11.85" customHeight="1" x14ac:dyDescent="0.2">
      <c r="E2804" s="2" t="str">
        <f>$E$2</f>
        <v>BUDGET REPORT</v>
      </c>
    </row>
    <row r="2805" spans="1:17" ht="11.85" customHeight="1" x14ac:dyDescent="0.2">
      <c r="E2805" s="2" t="str">
        <f>$E$3</f>
        <v>FISCAL YEAR 2024 - 2025</v>
      </c>
    </row>
    <row r="2806" spans="1:17" ht="11.85" customHeight="1" x14ac:dyDescent="0.2">
      <c r="A2806" s="3" t="s">
        <v>1138</v>
      </c>
    </row>
    <row r="2807" spans="1:17" ht="11.85" customHeight="1" x14ac:dyDescent="0.2">
      <c r="A2807" s="3" t="s">
        <v>1247</v>
      </c>
    </row>
    <row r="2808" spans="1:17" ht="11.85" customHeight="1" x14ac:dyDescent="0.2">
      <c r="A2808" s="32" t="s">
        <v>674</v>
      </c>
      <c r="I2808" s="53" t="str">
        <f>$I$6</f>
        <v>(----- 2023-2024------)</v>
      </c>
      <c r="J2808" s="53"/>
      <c r="K2808" s="53"/>
      <c r="L2808" s="6"/>
      <c r="M2808" s="54" t="str">
        <f>$M$6</f>
        <v>2024-2025</v>
      </c>
      <c r="N2808" s="54"/>
      <c r="O2808" s="54"/>
      <c r="P2808" s="54"/>
      <c r="Q2808" s="54"/>
    </row>
    <row r="2809" spans="1:17" ht="11.85" customHeight="1" x14ac:dyDescent="0.2">
      <c r="C2809" s="5" t="str">
        <f>$C$7</f>
        <v>2020-2021</v>
      </c>
      <c r="D2809" s="5"/>
      <c r="E2809" s="5" t="str">
        <f>$E$7</f>
        <v>2021-2022</v>
      </c>
      <c r="F2809" s="5"/>
      <c r="G2809" s="5" t="str">
        <f>$G$7</f>
        <v>2022-2023</v>
      </c>
      <c r="H2809" s="5"/>
      <c r="I2809" s="5" t="s">
        <v>9</v>
      </c>
      <c r="J2809" s="5"/>
      <c r="K2809" s="5" t="str">
        <f>+$K$7</f>
        <v>PROJECTED</v>
      </c>
      <c r="L2809" s="6"/>
      <c r="M2809" s="5">
        <f>$M$7</f>
        <v>0</v>
      </c>
      <c r="N2809" s="6"/>
      <c r="O2809" s="5" t="str">
        <f>$O$7</f>
        <v>2024-2025</v>
      </c>
      <c r="P2809" s="6"/>
      <c r="Q2809" s="5" t="str">
        <f>$Q$7</f>
        <v>APPROVED</v>
      </c>
    </row>
    <row r="2810" spans="1:17" ht="11.85" customHeight="1" x14ac:dyDescent="0.2">
      <c r="A2810" s="7" t="s">
        <v>273</v>
      </c>
      <c r="C2810" s="8" t="s">
        <v>12</v>
      </c>
      <c r="D2810" s="5"/>
      <c r="E2810" s="8" t="s">
        <v>12</v>
      </c>
      <c r="F2810" s="5"/>
      <c r="G2810" s="8" t="s">
        <v>12</v>
      </c>
      <c r="H2810" s="5"/>
      <c r="I2810" s="8" t="s">
        <v>13</v>
      </c>
      <c r="J2810" s="5"/>
      <c r="K2810" s="8" t="s">
        <v>13</v>
      </c>
      <c r="L2810" s="6"/>
      <c r="M2810" s="8" t="str">
        <f>$M$8</f>
        <v>BASE</v>
      </c>
      <c r="N2810" s="6"/>
      <c r="O2810" s="8" t="str">
        <f>$O$8</f>
        <v>SUPPLEMENTAL</v>
      </c>
      <c r="P2810" s="6"/>
      <c r="Q2810" s="8" t="str">
        <f>$Q$8</f>
        <v>BUDGET</v>
      </c>
    </row>
    <row r="2811" spans="1:17" ht="11.85" customHeight="1" x14ac:dyDescent="0.2">
      <c r="L2811" s="9"/>
      <c r="N2811" s="9"/>
      <c r="P2811" s="9"/>
    </row>
    <row r="2812" spans="1:17" ht="11.85" customHeight="1" x14ac:dyDescent="0.2">
      <c r="A2812" s="10" t="s">
        <v>1016</v>
      </c>
      <c r="L2812" s="9"/>
      <c r="N2812" s="9"/>
      <c r="P2812" s="9"/>
    </row>
    <row r="2813" spans="1:17" ht="11.85" customHeight="1" x14ac:dyDescent="0.2">
      <c r="A2813" s="3" t="s">
        <v>1292</v>
      </c>
      <c r="C2813" s="12">
        <v>0</v>
      </c>
      <c r="E2813" s="12">
        <v>0</v>
      </c>
      <c r="G2813" s="12">
        <v>0</v>
      </c>
      <c r="I2813" s="12">
        <v>0</v>
      </c>
      <c r="K2813" s="12">
        <v>0</v>
      </c>
      <c r="L2813" s="9"/>
      <c r="M2813" s="12">
        <v>0</v>
      </c>
      <c r="N2813" s="9"/>
      <c r="O2813" s="12">
        <v>0</v>
      </c>
      <c r="P2813" s="9"/>
      <c r="Q2813" s="12">
        <f>M2813+O2813</f>
        <v>0</v>
      </c>
    </row>
    <row r="2814" spans="1:17" ht="11.85" customHeight="1" x14ac:dyDescent="0.2">
      <c r="A2814" s="3" t="s">
        <v>1018</v>
      </c>
      <c r="C2814" s="2">
        <f>SUM(C2813:C2813)</f>
        <v>0</v>
      </c>
      <c r="E2814" s="2">
        <f>SUM(E2813:E2813)</f>
        <v>0</v>
      </c>
      <c r="G2814" s="2">
        <f>SUM(G2813:G2813)</f>
        <v>0</v>
      </c>
      <c r="I2814" s="2">
        <f>SUM(I2813:I2813)</f>
        <v>0</v>
      </c>
      <c r="K2814" s="2">
        <f>SUM(K2813:K2813)</f>
        <v>0</v>
      </c>
      <c r="L2814" s="9"/>
      <c r="M2814" s="2">
        <f>SUM(M2813:M2813)</f>
        <v>0</v>
      </c>
      <c r="N2814" s="9"/>
      <c r="O2814" s="2">
        <f>SUM(O2813:O2813)</f>
        <v>0</v>
      </c>
      <c r="P2814" s="9"/>
      <c r="Q2814" s="2">
        <f>SUM(Q2813:Q2813)</f>
        <v>0</v>
      </c>
    </row>
    <row r="2815" spans="1:17" ht="11.85" customHeight="1" x14ac:dyDescent="0.2">
      <c r="L2815" s="9"/>
      <c r="N2815" s="9"/>
      <c r="P2815" s="9"/>
    </row>
    <row r="2816" spans="1:17" ht="11.85" customHeight="1" x14ac:dyDescent="0.2">
      <c r="A2816" s="10" t="s">
        <v>332</v>
      </c>
      <c r="L2816" s="9"/>
      <c r="N2816" s="9"/>
      <c r="P2816" s="9"/>
    </row>
    <row r="2817" spans="1:22" ht="11.85" customHeight="1" x14ac:dyDescent="0.2">
      <c r="A2817" s="3" t="s">
        <v>1293</v>
      </c>
      <c r="C2817" s="2">
        <v>0</v>
      </c>
      <c r="E2817" s="2">
        <v>0</v>
      </c>
      <c r="G2817" s="2">
        <v>0</v>
      </c>
      <c r="I2817" s="2">
        <v>0</v>
      </c>
      <c r="K2817" s="2">
        <v>0</v>
      </c>
      <c r="L2817" s="9"/>
      <c r="M2817" s="2">
        <v>0</v>
      </c>
      <c r="N2817" s="9"/>
      <c r="O2817" s="2">
        <v>0</v>
      </c>
      <c r="P2817" s="9"/>
      <c r="Q2817" s="2">
        <f t="shared" ref="Q2817:Q2823" si="88">M2817+O2817</f>
        <v>0</v>
      </c>
      <c r="T2817" s="11"/>
    </row>
    <row r="2818" spans="1:22" ht="11.85" customHeight="1" x14ac:dyDescent="0.2">
      <c r="A2818" s="3" t="s">
        <v>1294</v>
      </c>
      <c r="C2818" s="2">
        <v>0</v>
      </c>
      <c r="E2818" s="2">
        <v>0</v>
      </c>
      <c r="G2818" s="2">
        <v>0</v>
      </c>
      <c r="I2818" s="2">
        <v>0</v>
      </c>
      <c r="K2818" s="2">
        <v>0</v>
      </c>
      <c r="L2818" s="9"/>
      <c r="M2818" s="2">
        <v>0</v>
      </c>
      <c r="N2818" s="9"/>
      <c r="O2818" s="2">
        <v>0</v>
      </c>
      <c r="P2818" s="9"/>
      <c r="Q2818" s="2">
        <f t="shared" si="88"/>
        <v>0</v>
      </c>
    </row>
    <row r="2819" spans="1:22" ht="11.85" customHeight="1" x14ac:dyDescent="0.2">
      <c r="A2819" s="3" t="s">
        <v>1295</v>
      </c>
      <c r="C2819" s="2">
        <v>0</v>
      </c>
      <c r="E2819" s="2">
        <v>0</v>
      </c>
      <c r="G2819" s="2">
        <v>0</v>
      </c>
      <c r="I2819" s="2">
        <v>0</v>
      </c>
      <c r="K2819" s="2">
        <v>0</v>
      </c>
      <c r="L2819" s="9"/>
      <c r="M2819" s="2">
        <v>0</v>
      </c>
      <c r="N2819" s="9"/>
      <c r="O2819" s="2">
        <v>0</v>
      </c>
      <c r="P2819" s="9"/>
      <c r="Q2819" s="2">
        <f t="shared" si="88"/>
        <v>0</v>
      </c>
    </row>
    <row r="2820" spans="1:22" ht="11.85" hidden="1" customHeight="1" x14ac:dyDescent="0.2">
      <c r="A2820" s="3" t="s">
        <v>1296</v>
      </c>
      <c r="C2820" s="2">
        <v>0</v>
      </c>
      <c r="E2820" s="2">
        <v>0</v>
      </c>
      <c r="G2820" s="2">
        <v>0</v>
      </c>
      <c r="I2820" s="2">
        <v>0</v>
      </c>
      <c r="K2820" s="2">
        <v>0</v>
      </c>
      <c r="L2820" s="9"/>
      <c r="M2820" s="2">
        <v>0</v>
      </c>
      <c r="N2820" s="9"/>
      <c r="O2820" s="2">
        <v>0</v>
      </c>
      <c r="P2820" s="9"/>
      <c r="Q2820" s="2">
        <f t="shared" si="88"/>
        <v>0</v>
      </c>
    </row>
    <row r="2821" spans="1:22" ht="11.85" customHeight="1" x14ac:dyDescent="0.2">
      <c r="A2821" s="3" t="s">
        <v>1297</v>
      </c>
      <c r="C2821" s="2">
        <v>0</v>
      </c>
      <c r="E2821" s="2">
        <v>0</v>
      </c>
      <c r="G2821" s="2">
        <v>0</v>
      </c>
      <c r="I2821" s="2">
        <v>0</v>
      </c>
      <c r="K2821" s="2">
        <v>0</v>
      </c>
      <c r="L2821" s="9"/>
      <c r="M2821" s="2">
        <v>0</v>
      </c>
      <c r="N2821" s="9"/>
      <c r="O2821" s="2">
        <v>0</v>
      </c>
      <c r="P2821" s="9"/>
      <c r="Q2821" s="2">
        <f t="shared" si="88"/>
        <v>0</v>
      </c>
    </row>
    <row r="2822" spans="1:22" ht="11.85" customHeight="1" x14ac:dyDescent="0.2">
      <c r="A2822" s="3" t="s">
        <v>1298</v>
      </c>
      <c r="C2822" s="2">
        <v>0</v>
      </c>
      <c r="E2822" s="2">
        <v>0</v>
      </c>
      <c r="G2822" s="2">
        <v>0</v>
      </c>
      <c r="I2822" s="2">
        <v>0</v>
      </c>
      <c r="K2822" s="2">
        <v>0</v>
      </c>
      <c r="L2822" s="9"/>
      <c r="M2822" s="2">
        <v>0</v>
      </c>
      <c r="N2822" s="9"/>
      <c r="O2822" s="2">
        <v>0</v>
      </c>
      <c r="P2822" s="9"/>
      <c r="Q2822" s="2">
        <f t="shared" si="88"/>
        <v>0</v>
      </c>
    </row>
    <row r="2823" spans="1:22" ht="11.85" customHeight="1" x14ac:dyDescent="0.2">
      <c r="A2823" s="3" t="s">
        <v>1299</v>
      </c>
      <c r="C2823" s="12">
        <v>0</v>
      </c>
      <c r="E2823" s="12">
        <v>0</v>
      </c>
      <c r="G2823" s="12">
        <v>0</v>
      </c>
      <c r="I2823" s="12">
        <v>0</v>
      </c>
      <c r="K2823" s="12">
        <v>0</v>
      </c>
      <c r="L2823" s="9"/>
      <c r="M2823" s="12">
        <v>0</v>
      </c>
      <c r="N2823" s="9"/>
      <c r="O2823" s="12">
        <v>0</v>
      </c>
      <c r="P2823" s="9"/>
      <c r="Q2823" s="12">
        <f t="shared" si="88"/>
        <v>0</v>
      </c>
      <c r="R2823" s="9"/>
    </row>
    <row r="2824" spans="1:22" ht="11.85" customHeight="1" x14ac:dyDescent="0.2">
      <c r="A2824" s="3" t="s">
        <v>336</v>
      </c>
      <c r="C2824" s="2">
        <f>SUM(C2817:C2823)</f>
        <v>0</v>
      </c>
      <c r="E2824" s="2">
        <f>SUM(E2817:E2823)</f>
        <v>0</v>
      </c>
      <c r="G2824" s="2">
        <f>SUM(G2817:G2823)</f>
        <v>0</v>
      </c>
      <c r="I2824" s="2">
        <f>SUM(I2817:I2823)</f>
        <v>0</v>
      </c>
      <c r="K2824" s="2">
        <f>SUM(K2817:K2823)</f>
        <v>0</v>
      </c>
      <c r="L2824" s="9"/>
      <c r="M2824" s="2">
        <f>SUM(M2817:M2823)</f>
        <v>0</v>
      </c>
      <c r="N2824" s="9"/>
      <c r="O2824" s="2">
        <f>SUM(O2817:O2823)</f>
        <v>0</v>
      </c>
      <c r="P2824" s="9"/>
      <c r="Q2824" s="2">
        <f>SUM(Q2817:Q2823)</f>
        <v>0</v>
      </c>
    </row>
    <row r="2825" spans="1:22" ht="11.85" customHeight="1" x14ac:dyDescent="0.2">
      <c r="L2825" s="9"/>
      <c r="N2825" s="9"/>
      <c r="P2825" s="9"/>
      <c r="T2825" s="11"/>
    </row>
    <row r="2826" spans="1:22" ht="11.85" customHeight="1" x14ac:dyDescent="0.2">
      <c r="A2826" s="3" t="s">
        <v>1300</v>
      </c>
      <c r="C2826" s="2">
        <f>C2758+C2774+C2797+C2801+C2814+C2824</f>
        <v>0</v>
      </c>
      <c r="E2826" s="2">
        <f>E2758+E2774+E2797+E2801+E2814+E2824</f>
        <v>0</v>
      </c>
      <c r="G2826" s="2">
        <f>G2758+G2774+G2797+G2801+G2814+G2824</f>
        <v>0</v>
      </c>
      <c r="I2826" s="2">
        <f>I2758+I2774+I2797+I2801+I2814+I2824</f>
        <v>0</v>
      </c>
      <c r="K2826" s="2">
        <f>K2758+K2774+K2797+K2801+K2814+K2824</f>
        <v>0</v>
      </c>
      <c r="L2826" s="9"/>
      <c r="M2826" s="2">
        <f>M2758+M2774+M2797+M2801+M2814+M2824</f>
        <v>0</v>
      </c>
      <c r="N2826" s="9"/>
      <c r="O2826" s="2">
        <f>O2758+O2774+O2797+O2801+O2814+O2824</f>
        <v>0</v>
      </c>
      <c r="P2826" s="9"/>
      <c r="Q2826" s="2">
        <f>Q2758+Q2774+Q2797+Q2801+Q2814+Q2824</f>
        <v>0</v>
      </c>
      <c r="R2826" s="9"/>
      <c r="U2826" s="13"/>
      <c r="V2826" s="9"/>
    </row>
    <row r="2827" spans="1:22" ht="11.85" customHeight="1" x14ac:dyDescent="0.2"/>
    <row r="2828" spans="1:22" ht="11.85" customHeight="1" x14ac:dyDescent="0.2"/>
    <row r="2829" spans="1:22" ht="11.85" customHeight="1" x14ac:dyDescent="0.2"/>
    <row r="2830" spans="1:22" ht="11.85" customHeight="1" x14ac:dyDescent="0.2"/>
    <row r="2831" spans="1:22" ht="11.85" customHeight="1" x14ac:dyDescent="0.2"/>
    <row r="2832" spans="1:22" ht="11.85" customHeight="1" x14ac:dyDescent="0.2"/>
    <row r="2833" ht="11.85" customHeight="1" x14ac:dyDescent="0.2"/>
    <row r="2834" ht="11.85" customHeight="1" x14ac:dyDescent="0.2"/>
    <row r="2835" ht="11.85" customHeight="1" x14ac:dyDescent="0.2"/>
    <row r="2836" ht="11.85" customHeight="1" x14ac:dyDescent="0.2"/>
    <row r="2837" ht="11.85" customHeight="1" x14ac:dyDescent="0.2"/>
    <row r="2838" ht="11.85" customHeight="1" x14ac:dyDescent="0.2"/>
    <row r="2839" ht="11.85" customHeight="1" x14ac:dyDescent="0.2"/>
    <row r="2840" ht="11.85" customHeight="1" x14ac:dyDescent="0.2"/>
    <row r="2841" ht="11.85" customHeight="1" x14ac:dyDescent="0.2"/>
    <row r="2842" ht="11.85" customHeight="1" x14ac:dyDescent="0.2"/>
    <row r="2843" ht="11.85" customHeight="1" x14ac:dyDescent="0.2"/>
    <row r="2844" ht="11.85" customHeight="1" x14ac:dyDescent="0.2"/>
    <row r="2845" ht="11.85" customHeight="1" x14ac:dyDescent="0.2"/>
    <row r="2846" ht="11.85" customHeight="1" x14ac:dyDescent="0.2"/>
    <row r="2847" ht="11.85" customHeight="1" x14ac:dyDescent="0.2"/>
    <row r="2848" ht="11.85" customHeight="1" x14ac:dyDescent="0.2"/>
    <row r="2849" ht="11.85" customHeight="1" x14ac:dyDescent="0.2"/>
    <row r="2850" ht="11.85" customHeight="1" x14ac:dyDescent="0.2"/>
    <row r="2851" ht="11.85" customHeight="1" x14ac:dyDescent="0.2"/>
    <row r="2852" ht="11.85" customHeight="1" x14ac:dyDescent="0.2"/>
    <row r="2853" ht="11.85" customHeight="1" x14ac:dyDescent="0.2"/>
    <row r="2854" ht="11.85" customHeight="1" x14ac:dyDescent="0.2"/>
    <row r="2855" ht="11.85" customHeight="1" x14ac:dyDescent="0.2"/>
    <row r="2856" ht="11.85" customHeight="1" x14ac:dyDescent="0.2"/>
    <row r="2857" ht="11.85" customHeight="1" x14ac:dyDescent="0.2"/>
    <row r="2858" ht="11.85" customHeight="1" x14ac:dyDescent="0.2"/>
    <row r="2859" ht="11.85" customHeight="1" x14ac:dyDescent="0.2"/>
    <row r="2860" ht="11.85" customHeight="1" x14ac:dyDescent="0.2"/>
    <row r="2861" ht="11.85" customHeight="1" x14ac:dyDescent="0.2"/>
    <row r="2862" ht="11.85" customHeight="1" x14ac:dyDescent="0.2"/>
    <row r="2863" ht="11.85" customHeight="1" x14ac:dyDescent="0.2"/>
    <row r="2864" ht="11.85" customHeight="1" x14ac:dyDescent="0.2"/>
    <row r="2865" spans="1:22" ht="11.85" customHeight="1" x14ac:dyDescent="0.2"/>
    <row r="2866" spans="1:22" ht="11.85" customHeight="1" x14ac:dyDescent="0.2"/>
    <row r="2867" spans="1:22" ht="11.85" customHeight="1" x14ac:dyDescent="0.2"/>
    <row r="2868" spans="1:22" ht="11.85" customHeight="1" x14ac:dyDescent="0.2">
      <c r="A2868" s="1"/>
      <c r="B2868" s="1"/>
      <c r="E2868" s="2" t="str">
        <f>$E$1</f>
        <v>CITY OF BRADY</v>
      </c>
    </row>
    <row r="2869" spans="1:22" ht="11.85" customHeight="1" x14ac:dyDescent="0.2">
      <c r="E2869" s="2" t="str">
        <f>$E$2</f>
        <v>BUDGET REPORT</v>
      </c>
    </row>
    <row r="2870" spans="1:22" ht="11.85" customHeight="1" x14ac:dyDescent="0.2">
      <c r="E2870" s="2" t="str">
        <f>$E$3</f>
        <v>FISCAL YEAR 2024 - 2025</v>
      </c>
    </row>
    <row r="2871" spans="1:22" ht="11.85" customHeight="1" x14ac:dyDescent="0.2">
      <c r="A2871" s="3" t="s">
        <v>1138</v>
      </c>
    </row>
    <row r="2872" spans="1:22" ht="11.85" customHeight="1" x14ac:dyDescent="0.2">
      <c r="A2872" s="3" t="s">
        <v>1301</v>
      </c>
    </row>
    <row r="2873" spans="1:22" ht="11.85" customHeight="1" x14ac:dyDescent="0.2">
      <c r="A2873" s="32" t="s">
        <v>674</v>
      </c>
      <c r="I2873" s="53" t="str">
        <f>$I$6</f>
        <v>(----- 2023-2024------)</v>
      </c>
      <c r="J2873" s="53"/>
      <c r="K2873" s="53"/>
      <c r="L2873" s="6"/>
      <c r="M2873" s="54" t="str">
        <f>$M$6</f>
        <v>2024-2025</v>
      </c>
      <c r="N2873" s="54"/>
      <c r="O2873" s="54"/>
      <c r="P2873" s="54"/>
      <c r="Q2873" s="54"/>
    </row>
    <row r="2874" spans="1:22" ht="11.85" customHeight="1" x14ac:dyDescent="0.2">
      <c r="C2874" s="5" t="str">
        <f>$C$7</f>
        <v>2020-2021</v>
      </c>
      <c r="D2874" s="5"/>
      <c r="E2874" s="5" t="str">
        <f>$E$7</f>
        <v>2021-2022</v>
      </c>
      <c r="F2874" s="5"/>
      <c r="G2874" s="5" t="str">
        <f>$G$7</f>
        <v>2022-2023</v>
      </c>
      <c r="H2874" s="5"/>
      <c r="I2874" s="5" t="s">
        <v>9</v>
      </c>
      <c r="J2874" s="5"/>
      <c r="K2874" s="5" t="str">
        <f>+$K$7</f>
        <v>PROJECTED</v>
      </c>
      <c r="L2874" s="6"/>
      <c r="M2874" s="5">
        <f>$M$7</f>
        <v>0</v>
      </c>
      <c r="N2874" s="6"/>
      <c r="O2874" s="5" t="str">
        <f>$O$7</f>
        <v>2024-2025</v>
      </c>
      <c r="P2874" s="6"/>
      <c r="Q2874" s="5" t="str">
        <f>$Q$7</f>
        <v>APPROVED</v>
      </c>
    </row>
    <row r="2875" spans="1:22" ht="11.85" customHeight="1" x14ac:dyDescent="0.2">
      <c r="A2875" s="7" t="s">
        <v>273</v>
      </c>
      <c r="C2875" s="8" t="s">
        <v>12</v>
      </c>
      <c r="D2875" s="5"/>
      <c r="E2875" s="8" t="s">
        <v>12</v>
      </c>
      <c r="F2875" s="5"/>
      <c r="G2875" s="8" t="s">
        <v>12</v>
      </c>
      <c r="H2875" s="5"/>
      <c r="I2875" s="8" t="s">
        <v>13</v>
      </c>
      <c r="J2875" s="5"/>
      <c r="K2875" s="8" t="s">
        <v>13</v>
      </c>
      <c r="L2875" s="6"/>
      <c r="M2875" s="8" t="str">
        <f>$M$8</f>
        <v>BASE</v>
      </c>
      <c r="N2875" s="6"/>
      <c r="O2875" s="8" t="str">
        <f>$O$8</f>
        <v>SUPPLEMENTAL</v>
      </c>
      <c r="P2875" s="6"/>
      <c r="Q2875" s="8" t="str">
        <f>$Q$8</f>
        <v>BUDGET</v>
      </c>
    </row>
    <row r="2876" spans="1:22" ht="11.85" customHeight="1" x14ac:dyDescent="0.2"/>
    <row r="2877" spans="1:22" ht="11.85" customHeight="1" x14ac:dyDescent="0.2">
      <c r="A2877" s="10" t="s">
        <v>286</v>
      </c>
      <c r="L2877" s="9"/>
      <c r="N2877" s="9"/>
      <c r="P2877" s="9"/>
    </row>
    <row r="2878" spans="1:22" ht="11.85" customHeight="1" x14ac:dyDescent="0.2">
      <c r="A2878" s="3" t="s">
        <v>1302</v>
      </c>
      <c r="C2878" s="2">
        <v>0</v>
      </c>
      <c r="E2878" s="2">
        <v>0</v>
      </c>
      <c r="G2878" s="2">
        <v>0</v>
      </c>
      <c r="I2878" s="2">
        <v>0</v>
      </c>
      <c r="K2878" s="2">
        <v>0</v>
      </c>
      <c r="L2878" s="9"/>
      <c r="M2878" s="2">
        <v>0</v>
      </c>
      <c r="N2878" s="9"/>
      <c r="O2878" s="2">
        <v>0</v>
      </c>
      <c r="P2878" s="9"/>
      <c r="Q2878" s="2">
        <f>M2878+O2878</f>
        <v>0</v>
      </c>
      <c r="T2878" s="11"/>
    </row>
    <row r="2879" spans="1:22" ht="11.85" customHeight="1" x14ac:dyDescent="0.2">
      <c r="A2879" s="3" t="s">
        <v>1303</v>
      </c>
      <c r="C2879" s="12">
        <v>0</v>
      </c>
      <c r="E2879" s="12">
        <v>0</v>
      </c>
      <c r="G2879" s="12">
        <v>0</v>
      </c>
      <c r="I2879" s="12">
        <v>0</v>
      </c>
      <c r="K2879" s="12">
        <v>0</v>
      </c>
      <c r="L2879" s="9"/>
      <c r="M2879" s="12">
        <v>0</v>
      </c>
      <c r="N2879" s="9"/>
      <c r="O2879" s="12">
        <v>0</v>
      </c>
      <c r="P2879" s="9"/>
      <c r="Q2879" s="12">
        <f>M2879+O2879</f>
        <v>0</v>
      </c>
      <c r="T2879" s="11"/>
      <c r="V2879" s="27"/>
    </row>
    <row r="2880" spans="1:22" ht="11.85" customHeight="1" x14ac:dyDescent="0.2">
      <c r="A2880" s="3" t="s">
        <v>304</v>
      </c>
      <c r="C2880" s="2">
        <f>SUM(C2878:C2879)</f>
        <v>0</v>
      </c>
      <c r="E2880" s="2">
        <f>SUM(E2878:E2879)</f>
        <v>0</v>
      </c>
      <c r="G2880" s="2">
        <f>SUM(G2878:G2879)</f>
        <v>0</v>
      </c>
      <c r="I2880" s="2">
        <f>SUM(I2878:I2879)</f>
        <v>0</v>
      </c>
      <c r="K2880" s="2">
        <f>SUM(K2878:K2879)</f>
        <v>0</v>
      </c>
      <c r="L2880" s="9"/>
      <c r="M2880" s="2">
        <f>SUM(M2878:M2879)</f>
        <v>0</v>
      </c>
      <c r="N2880" s="9"/>
      <c r="O2880" s="2">
        <f>SUM(O2878:O2879)</f>
        <v>0</v>
      </c>
      <c r="P2880" s="9"/>
      <c r="Q2880" s="2">
        <f>SUM(Q2878:Q2879)</f>
        <v>0</v>
      </c>
    </row>
    <row r="2881" spans="1:22" ht="11.85" customHeight="1" x14ac:dyDescent="0.2">
      <c r="L2881" s="9"/>
      <c r="N2881" s="9"/>
      <c r="P2881" s="9"/>
    </row>
    <row r="2882" spans="1:22" ht="11.85" customHeight="1" x14ac:dyDescent="0.2">
      <c r="A2882" s="10" t="s">
        <v>332</v>
      </c>
      <c r="L2882" s="9"/>
      <c r="N2882" s="9"/>
      <c r="P2882" s="9"/>
    </row>
    <row r="2883" spans="1:22" ht="11.85" customHeight="1" x14ac:dyDescent="0.2">
      <c r="A2883" s="3" t="s">
        <v>1304</v>
      </c>
      <c r="C2883" s="12">
        <v>0</v>
      </c>
      <c r="E2883" s="12">
        <v>0</v>
      </c>
      <c r="G2883" s="12">
        <v>0</v>
      </c>
      <c r="I2883" s="12">
        <v>0</v>
      </c>
      <c r="K2883" s="12">
        <v>0</v>
      </c>
      <c r="L2883" s="9"/>
      <c r="M2883" s="12">
        <v>0</v>
      </c>
      <c r="N2883" s="9"/>
      <c r="O2883" s="12">
        <v>0</v>
      </c>
      <c r="P2883" s="9"/>
      <c r="Q2883" s="12">
        <f>M2883+O2883</f>
        <v>0</v>
      </c>
    </row>
    <row r="2884" spans="1:22" ht="11.85" customHeight="1" x14ac:dyDescent="0.2">
      <c r="A2884" s="3" t="s">
        <v>336</v>
      </c>
      <c r="C2884" s="2">
        <f>SUM(C2883:C2883)</f>
        <v>0</v>
      </c>
      <c r="E2884" s="2">
        <f>SUM(E2883:E2883)</f>
        <v>0</v>
      </c>
      <c r="G2884" s="2">
        <f>SUM(G2883:G2883)</f>
        <v>0</v>
      </c>
      <c r="I2884" s="2">
        <f>SUM(I2883:I2883)</f>
        <v>0</v>
      </c>
      <c r="K2884" s="2">
        <f>SUM(K2883:K2883)</f>
        <v>0</v>
      </c>
      <c r="L2884" s="9"/>
      <c r="M2884" s="2">
        <f>SUM(M2883:M2883)</f>
        <v>0</v>
      </c>
      <c r="N2884" s="9"/>
      <c r="O2884" s="2">
        <f>SUM(O2883:O2883)</f>
        <v>0</v>
      </c>
      <c r="P2884" s="9"/>
      <c r="Q2884" s="2">
        <f>SUM(Q2883:Q2883)</f>
        <v>0</v>
      </c>
      <c r="V2884" s="38"/>
    </row>
    <row r="2885" spans="1:22" ht="11.85" customHeight="1" x14ac:dyDescent="0.2">
      <c r="L2885" s="9"/>
      <c r="N2885" s="9"/>
      <c r="P2885" s="9"/>
      <c r="T2885" s="11"/>
    </row>
    <row r="2886" spans="1:22" ht="11.85" customHeight="1" x14ac:dyDescent="0.2">
      <c r="A2886" s="3" t="s">
        <v>1305</v>
      </c>
      <c r="C2886" s="2">
        <f>+C2880+C2884</f>
        <v>0</v>
      </c>
      <c r="E2886" s="2">
        <f>+E2880+E2884</f>
        <v>0</v>
      </c>
      <c r="G2886" s="2">
        <f>+G2880+G2884</f>
        <v>0</v>
      </c>
      <c r="I2886" s="2">
        <f>+I2880+I2884</f>
        <v>0</v>
      </c>
      <c r="K2886" s="2">
        <f>+K2880+K2884</f>
        <v>0</v>
      </c>
      <c r="L2886" s="2"/>
      <c r="M2886" s="2">
        <f>+M2880+M2884</f>
        <v>0</v>
      </c>
      <c r="N2886" s="2"/>
      <c r="O2886" s="2">
        <f>+O2880+O2884</f>
        <v>0</v>
      </c>
      <c r="P2886" s="2"/>
      <c r="Q2886" s="2">
        <f>+Q2880+Q2884</f>
        <v>0</v>
      </c>
      <c r="R2886" s="9"/>
      <c r="U2886" s="13"/>
    </row>
    <row r="2887" spans="1:22" ht="11.85" customHeight="1" x14ac:dyDescent="0.2">
      <c r="L2887" s="9"/>
      <c r="N2887" s="9"/>
      <c r="P2887" s="9"/>
      <c r="T2887" s="11"/>
    </row>
    <row r="2888" spans="1:22" ht="11.85" customHeight="1" x14ac:dyDescent="0.2">
      <c r="L2888" s="9"/>
      <c r="N2888" s="9"/>
      <c r="P2888" s="9"/>
      <c r="T2888" s="11"/>
    </row>
    <row r="2889" spans="1:22" ht="11.85" customHeight="1" x14ac:dyDescent="0.2">
      <c r="L2889" s="9"/>
      <c r="N2889" s="9"/>
      <c r="P2889" s="9"/>
      <c r="T2889" s="11"/>
    </row>
    <row r="2890" spans="1:22" ht="11.85" customHeight="1" x14ac:dyDescent="0.2">
      <c r="L2890" s="9"/>
      <c r="N2890" s="9"/>
      <c r="P2890" s="9"/>
      <c r="T2890" s="11"/>
    </row>
    <row r="2891" spans="1:22" ht="11.85" customHeight="1" x14ac:dyDescent="0.2">
      <c r="L2891" s="9"/>
      <c r="N2891" s="9"/>
      <c r="P2891" s="9"/>
      <c r="T2891" s="11"/>
    </row>
    <row r="2892" spans="1:22" ht="11.85" customHeight="1" x14ac:dyDescent="0.2">
      <c r="L2892" s="9"/>
      <c r="N2892" s="9"/>
      <c r="P2892" s="9"/>
      <c r="T2892" s="11"/>
    </row>
    <row r="2893" spans="1:22" ht="11.85" customHeight="1" x14ac:dyDescent="0.2">
      <c r="L2893" s="9"/>
      <c r="N2893" s="9"/>
      <c r="P2893" s="9"/>
      <c r="T2893" s="11"/>
    </row>
    <row r="2894" spans="1:22" ht="11.85" customHeight="1" x14ac:dyDescent="0.2">
      <c r="L2894" s="9"/>
      <c r="N2894" s="9"/>
      <c r="P2894" s="9"/>
      <c r="T2894" s="11"/>
    </row>
    <row r="2895" spans="1:22" ht="11.85" customHeight="1" x14ac:dyDescent="0.2">
      <c r="L2895" s="9"/>
      <c r="N2895" s="9"/>
      <c r="P2895" s="9"/>
      <c r="T2895" s="11"/>
    </row>
    <row r="2896" spans="1:22" ht="11.85" customHeight="1" x14ac:dyDescent="0.2">
      <c r="L2896" s="9"/>
      <c r="N2896" s="9"/>
      <c r="P2896" s="9"/>
      <c r="T2896" s="11"/>
    </row>
    <row r="2897" spans="12:20" ht="11.85" customHeight="1" x14ac:dyDescent="0.2">
      <c r="L2897" s="9"/>
      <c r="N2897" s="9"/>
      <c r="P2897" s="9"/>
      <c r="T2897" s="11"/>
    </row>
    <row r="2898" spans="12:20" ht="11.85" customHeight="1" x14ac:dyDescent="0.2">
      <c r="L2898" s="9"/>
      <c r="N2898" s="9"/>
      <c r="P2898" s="9"/>
      <c r="T2898" s="11"/>
    </row>
    <row r="2899" spans="12:20" ht="11.85" customHeight="1" x14ac:dyDescent="0.2">
      <c r="L2899" s="9"/>
      <c r="N2899" s="9"/>
      <c r="P2899" s="9"/>
      <c r="T2899" s="11"/>
    </row>
    <row r="2900" spans="12:20" ht="11.85" customHeight="1" x14ac:dyDescent="0.2">
      <c r="L2900" s="9"/>
      <c r="N2900" s="9"/>
      <c r="P2900" s="9"/>
      <c r="T2900" s="11"/>
    </row>
    <row r="2901" spans="12:20" ht="11.85" customHeight="1" x14ac:dyDescent="0.2">
      <c r="L2901" s="9"/>
      <c r="N2901" s="9"/>
      <c r="P2901" s="9"/>
      <c r="T2901" s="11"/>
    </row>
    <row r="2902" spans="12:20" ht="11.85" customHeight="1" x14ac:dyDescent="0.2">
      <c r="L2902" s="9"/>
      <c r="N2902" s="9"/>
      <c r="P2902" s="9"/>
      <c r="T2902" s="11"/>
    </row>
    <row r="2903" spans="12:20" ht="11.85" customHeight="1" x14ac:dyDescent="0.2">
      <c r="L2903" s="9"/>
      <c r="N2903" s="9"/>
      <c r="P2903" s="9"/>
      <c r="T2903" s="11"/>
    </row>
    <row r="2904" spans="12:20" ht="11.85" customHeight="1" x14ac:dyDescent="0.2">
      <c r="L2904" s="9"/>
      <c r="N2904" s="9"/>
      <c r="P2904" s="9"/>
      <c r="T2904" s="11"/>
    </row>
    <row r="2905" spans="12:20" ht="11.85" customHeight="1" x14ac:dyDescent="0.2">
      <c r="L2905" s="9"/>
      <c r="N2905" s="9"/>
      <c r="P2905" s="9"/>
      <c r="T2905" s="11"/>
    </row>
    <row r="2906" spans="12:20" ht="11.85" customHeight="1" x14ac:dyDescent="0.2">
      <c r="L2906" s="9"/>
      <c r="N2906" s="9"/>
      <c r="P2906" s="9"/>
      <c r="T2906" s="11"/>
    </row>
    <row r="2907" spans="12:20" ht="11.85" customHeight="1" x14ac:dyDescent="0.2">
      <c r="L2907" s="9"/>
      <c r="N2907" s="9"/>
      <c r="P2907" s="9"/>
      <c r="T2907" s="11"/>
    </row>
    <row r="2908" spans="12:20" ht="11.85" customHeight="1" x14ac:dyDescent="0.2">
      <c r="L2908" s="9"/>
      <c r="N2908" s="9"/>
      <c r="P2908" s="9"/>
      <c r="T2908" s="11"/>
    </row>
    <row r="2909" spans="12:20" ht="11.85" customHeight="1" x14ac:dyDescent="0.2">
      <c r="L2909" s="9"/>
      <c r="N2909" s="9"/>
      <c r="P2909" s="9"/>
      <c r="T2909" s="11"/>
    </row>
    <row r="2910" spans="12:20" ht="11.85" customHeight="1" x14ac:dyDescent="0.2">
      <c r="L2910" s="9"/>
      <c r="N2910" s="9"/>
      <c r="P2910" s="9"/>
      <c r="T2910" s="11"/>
    </row>
    <row r="2911" spans="12:20" ht="11.25" customHeight="1" x14ac:dyDescent="0.2">
      <c r="L2911" s="9"/>
      <c r="N2911" s="9"/>
      <c r="P2911" s="9"/>
      <c r="T2911" s="11"/>
    </row>
    <row r="2912" spans="12:20" ht="11.85" customHeight="1" x14ac:dyDescent="0.2">
      <c r="L2912" s="9"/>
      <c r="N2912" s="9"/>
      <c r="P2912" s="9"/>
      <c r="T2912" s="11"/>
    </row>
    <row r="2913" spans="12:20" ht="11.85" customHeight="1" x14ac:dyDescent="0.2">
      <c r="L2913" s="9"/>
      <c r="N2913" s="9"/>
      <c r="P2913" s="9"/>
      <c r="T2913" s="11"/>
    </row>
    <row r="2914" spans="12:20" ht="11.85" customHeight="1" x14ac:dyDescent="0.2">
      <c r="L2914" s="9"/>
      <c r="N2914" s="9"/>
      <c r="P2914" s="9"/>
      <c r="T2914" s="11"/>
    </row>
    <row r="2915" spans="12:20" ht="11.85" customHeight="1" x14ac:dyDescent="0.2">
      <c r="L2915" s="9"/>
      <c r="N2915" s="9"/>
      <c r="P2915" s="9"/>
      <c r="T2915" s="11"/>
    </row>
    <row r="2916" spans="12:20" ht="11.85" customHeight="1" x14ac:dyDescent="0.2">
      <c r="L2916" s="9"/>
      <c r="N2916" s="9"/>
      <c r="P2916" s="9"/>
      <c r="T2916" s="11"/>
    </row>
    <row r="2917" spans="12:20" ht="11.85" customHeight="1" x14ac:dyDescent="0.2">
      <c r="L2917" s="9"/>
      <c r="N2917" s="9"/>
      <c r="P2917" s="9"/>
      <c r="T2917" s="11"/>
    </row>
    <row r="2918" spans="12:20" ht="11.85" customHeight="1" x14ac:dyDescent="0.2">
      <c r="L2918" s="9"/>
      <c r="N2918" s="9"/>
      <c r="P2918" s="9"/>
      <c r="T2918" s="11"/>
    </row>
    <row r="2919" spans="12:20" ht="11.85" customHeight="1" x14ac:dyDescent="0.2">
      <c r="L2919" s="9"/>
      <c r="N2919" s="9"/>
      <c r="P2919" s="9"/>
      <c r="T2919" s="11"/>
    </row>
    <row r="2920" spans="12:20" ht="11.85" customHeight="1" x14ac:dyDescent="0.2">
      <c r="L2920" s="9"/>
      <c r="N2920" s="9"/>
      <c r="P2920" s="9"/>
      <c r="T2920" s="11"/>
    </row>
    <row r="2921" spans="12:20" ht="11.85" customHeight="1" x14ac:dyDescent="0.2">
      <c r="L2921" s="9"/>
      <c r="N2921" s="9"/>
      <c r="P2921" s="9"/>
      <c r="T2921" s="11"/>
    </row>
    <row r="2922" spans="12:20" ht="11.85" customHeight="1" x14ac:dyDescent="0.2">
      <c r="L2922" s="9"/>
      <c r="N2922" s="9"/>
      <c r="P2922" s="9"/>
      <c r="T2922" s="11"/>
    </row>
    <row r="2923" spans="12:20" ht="11.85" customHeight="1" x14ac:dyDescent="0.2">
      <c r="L2923" s="9"/>
      <c r="N2923" s="9"/>
      <c r="P2923" s="9"/>
      <c r="T2923" s="11"/>
    </row>
    <row r="2924" spans="12:20" ht="11.85" customHeight="1" x14ac:dyDescent="0.2">
      <c r="L2924" s="9"/>
      <c r="N2924" s="9"/>
      <c r="P2924" s="9"/>
      <c r="T2924" s="11"/>
    </row>
    <row r="2925" spans="12:20" ht="11.85" customHeight="1" x14ac:dyDescent="0.2">
      <c r="L2925" s="9"/>
      <c r="N2925" s="9"/>
      <c r="P2925" s="9"/>
      <c r="R2925" s="9"/>
    </row>
    <row r="2926" spans="12:20" ht="11.85" customHeight="1" x14ac:dyDescent="0.2">
      <c r="L2926" s="9"/>
      <c r="N2926" s="9"/>
      <c r="P2926" s="9"/>
    </row>
    <row r="2927" spans="12:20" ht="11.85" customHeight="1" x14ac:dyDescent="0.2">
      <c r="L2927" s="9"/>
      <c r="N2927" s="9"/>
      <c r="P2927" s="9"/>
    </row>
    <row r="2928" spans="12:20" ht="11.85" customHeight="1" x14ac:dyDescent="0.2">
      <c r="L2928" s="9"/>
      <c r="N2928" s="9"/>
      <c r="P2928" s="9"/>
    </row>
    <row r="2929" spans="1:22" ht="11.85" customHeight="1" x14ac:dyDescent="0.2">
      <c r="L2929" s="9"/>
      <c r="N2929" s="9"/>
      <c r="P2929" s="9"/>
    </row>
    <row r="2930" spans="1:22" ht="11.85" customHeight="1" x14ac:dyDescent="0.2">
      <c r="L2930" s="9"/>
      <c r="N2930" s="9"/>
      <c r="P2930" s="9"/>
    </row>
    <row r="2931" spans="1:22" ht="11.85" customHeight="1" x14ac:dyDescent="0.2">
      <c r="A2931" s="1"/>
      <c r="B2931" s="1"/>
      <c r="E2931" s="2" t="str">
        <f>$E$1</f>
        <v>CITY OF BRADY</v>
      </c>
    </row>
    <row r="2932" spans="1:22" ht="11.85" customHeight="1" x14ac:dyDescent="0.2">
      <c r="E2932" s="2" t="str">
        <f>$E$2</f>
        <v>BUDGET REPORT</v>
      </c>
    </row>
    <row r="2933" spans="1:22" ht="11.85" customHeight="1" x14ac:dyDescent="0.2">
      <c r="E2933" s="2" t="str">
        <f>$E$3</f>
        <v>FISCAL YEAR 2024 - 2025</v>
      </c>
    </row>
    <row r="2934" spans="1:22" ht="11.85" customHeight="1" x14ac:dyDescent="0.2">
      <c r="A2934" s="3" t="s">
        <v>1138</v>
      </c>
    </row>
    <row r="2935" spans="1:22" ht="11.85" customHeight="1" x14ac:dyDescent="0.2"/>
    <row r="2936" spans="1:22" ht="11.85" customHeight="1" x14ac:dyDescent="0.2">
      <c r="I2936" s="53" t="str">
        <f>$I$6</f>
        <v>(----- 2023-2024------)</v>
      </c>
      <c r="J2936" s="53"/>
      <c r="K2936" s="53"/>
      <c r="L2936" s="6"/>
      <c r="M2936" s="54" t="str">
        <f>$M$6</f>
        <v>2024-2025</v>
      </c>
      <c r="N2936" s="54"/>
      <c r="O2936" s="54"/>
      <c r="P2936" s="54"/>
      <c r="Q2936" s="54"/>
    </row>
    <row r="2937" spans="1:22" ht="11.85" customHeight="1" x14ac:dyDescent="0.2">
      <c r="C2937" s="5" t="str">
        <f>$C$7</f>
        <v>2020-2021</v>
      </c>
      <c r="D2937" s="5"/>
      <c r="E2937" s="5" t="str">
        <f>$E$7</f>
        <v>2021-2022</v>
      </c>
      <c r="F2937" s="5"/>
      <c r="G2937" s="5" t="str">
        <f>$G$7</f>
        <v>2022-2023</v>
      </c>
      <c r="H2937" s="5"/>
      <c r="I2937" s="5" t="s">
        <v>9</v>
      </c>
      <c r="J2937" s="5"/>
      <c r="K2937" s="5" t="str">
        <f>+$K$7</f>
        <v>PROJECTED</v>
      </c>
      <c r="L2937" s="6"/>
      <c r="M2937" s="5">
        <f>$M$7</f>
        <v>0</v>
      </c>
      <c r="N2937" s="6"/>
      <c r="O2937" s="5" t="str">
        <f>$O$7</f>
        <v>2024-2025</v>
      </c>
      <c r="P2937" s="6"/>
      <c r="Q2937" s="5" t="str">
        <f>$Q$7</f>
        <v>APPROVED</v>
      </c>
    </row>
    <row r="2938" spans="1:22" ht="11.85" customHeight="1" x14ac:dyDescent="0.2">
      <c r="A2938" s="7" t="s">
        <v>273</v>
      </c>
      <c r="C2938" s="8" t="s">
        <v>12</v>
      </c>
      <c r="D2938" s="5"/>
      <c r="E2938" s="8" t="s">
        <v>12</v>
      </c>
      <c r="F2938" s="5"/>
      <c r="G2938" s="8" t="s">
        <v>12</v>
      </c>
      <c r="H2938" s="5"/>
      <c r="I2938" s="8" t="s">
        <v>13</v>
      </c>
      <c r="J2938" s="5"/>
      <c r="K2938" s="8" t="s">
        <v>13</v>
      </c>
      <c r="L2938" s="6"/>
      <c r="M2938" s="8" t="str">
        <f>$M$8</f>
        <v>BASE</v>
      </c>
      <c r="N2938" s="6"/>
      <c r="O2938" s="8" t="str">
        <f>$O$8</f>
        <v>SUPPLEMENTAL</v>
      </c>
      <c r="P2938" s="6"/>
      <c r="Q2938" s="8" t="str">
        <f>$Q$8</f>
        <v>BUDGET</v>
      </c>
    </row>
    <row r="2939" spans="1:22" ht="11.85" customHeight="1" x14ac:dyDescent="0.2">
      <c r="L2939" s="9"/>
      <c r="N2939" s="9"/>
      <c r="P2939" s="9"/>
    </row>
    <row r="2940" spans="1:22" ht="11.85" customHeight="1" thickBot="1" x14ac:dyDescent="0.25">
      <c r="A2940" s="3" t="s">
        <v>1123</v>
      </c>
      <c r="C2940" s="25">
        <f>C2563+C2699+C2826+C2886</f>
        <v>7785444.2899999991</v>
      </c>
      <c r="E2940" s="25">
        <f>E2563+E2699+E2826+E2886</f>
        <v>7088233.7000000011</v>
      </c>
      <c r="G2940" s="25">
        <f>G2563+G2699+G2826+G2886</f>
        <v>8295271</v>
      </c>
      <c r="I2940" s="25">
        <f>I2563+I2699+I2826+I2886</f>
        <v>8430111</v>
      </c>
      <c r="K2940" s="25">
        <f>K2563+K2699+K2826+K2886</f>
        <v>8904754</v>
      </c>
      <c r="L2940" s="9"/>
      <c r="M2940" s="25">
        <f>M2563+M2699+M2826+M2886</f>
        <v>8276283</v>
      </c>
      <c r="N2940" s="9"/>
      <c r="O2940" s="25">
        <f>O2563+O2699+O2826+O2886</f>
        <v>663000</v>
      </c>
      <c r="P2940" s="9"/>
      <c r="Q2940" s="25">
        <f>Q2563+Q2699+Q2826+Q2886</f>
        <v>8939283</v>
      </c>
      <c r="R2940" s="9"/>
      <c r="U2940" s="2"/>
    </row>
    <row r="2941" spans="1:22" ht="11.85" customHeight="1" thickTop="1" x14ac:dyDescent="0.2">
      <c r="C2941" s="9"/>
      <c r="D2941" s="9"/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V2941" s="2"/>
    </row>
    <row r="2942" spans="1:22" ht="11.85" customHeight="1" thickBot="1" x14ac:dyDescent="0.25">
      <c r="A2942" s="3" t="s">
        <v>1124</v>
      </c>
      <c r="C2942" s="36">
        <f>C2541-C2940</f>
        <v>-616112.33000000007</v>
      </c>
      <c r="D2942" s="9"/>
      <c r="E2942" s="36">
        <f>E2541-E2940</f>
        <v>985570.99999999907</v>
      </c>
      <c r="F2942" s="9"/>
      <c r="G2942" s="36">
        <f>G2541-G2940</f>
        <v>249452.87999999896</v>
      </c>
      <c r="H2942" s="9"/>
      <c r="I2942" s="36">
        <f>I2541-I2940</f>
        <v>-418511</v>
      </c>
      <c r="J2942" s="9"/>
      <c r="K2942" s="36">
        <f>K2541-K2940</f>
        <v>-783154</v>
      </c>
      <c r="L2942" s="9"/>
      <c r="M2942" s="36">
        <f>M2541-M2940</f>
        <v>-6783</v>
      </c>
      <c r="N2942" s="9"/>
      <c r="O2942" s="36">
        <f>O2541-O2940</f>
        <v>-663000</v>
      </c>
      <c r="P2942" s="9"/>
      <c r="Q2942" s="36">
        <f>Q2541-Q2940</f>
        <v>-669783</v>
      </c>
      <c r="U2942" s="9"/>
    </row>
    <row r="2943" spans="1:22" ht="11.85" customHeight="1" thickTop="1" x14ac:dyDescent="0.2">
      <c r="L2943" s="9"/>
      <c r="N2943" s="9"/>
      <c r="P2943" s="9"/>
    </row>
    <row r="2944" spans="1:22" ht="11.85" customHeight="1" x14ac:dyDescent="0.2">
      <c r="L2944" s="9"/>
      <c r="N2944" s="9"/>
      <c r="P2944" s="9"/>
    </row>
    <row r="2945" spans="1:21" ht="11.85" customHeight="1" x14ac:dyDescent="0.2">
      <c r="A2945" s="3" t="s">
        <v>1125</v>
      </c>
      <c r="L2945" s="9"/>
      <c r="N2945" s="9"/>
      <c r="P2945" s="9"/>
    </row>
    <row r="2946" spans="1:21" ht="11.85" customHeight="1" thickBot="1" x14ac:dyDescent="0.25">
      <c r="A2946" s="3" t="s">
        <v>17</v>
      </c>
      <c r="C2946" s="25">
        <f>C2485+C2541-C2940</f>
        <v>3547907.8499999996</v>
      </c>
      <c r="E2946" s="25">
        <f>E2485+E2541-E2940</f>
        <v>4533478.8499999996</v>
      </c>
      <c r="G2946" s="25">
        <f>G2485+G2541-G2940</f>
        <v>4782931.7299999986</v>
      </c>
      <c r="I2946" s="25">
        <f>I2485+I2541-I2940</f>
        <v>4364420.7299999986</v>
      </c>
      <c r="K2946" s="25">
        <f>K2485+K2541-K2940</f>
        <v>3999777.7299999986</v>
      </c>
      <c r="L2946" s="9"/>
      <c r="M2946" s="25">
        <f>M2485+M2541-M2940</f>
        <v>3992994.7299999986</v>
      </c>
      <c r="N2946" s="9"/>
      <c r="P2946" s="9"/>
      <c r="Q2946" s="25">
        <f>Q2485+Q2541-Q2940</f>
        <v>3329994.7299999986</v>
      </c>
      <c r="U2946" s="9"/>
    </row>
    <row r="2947" spans="1:21" ht="11.85" customHeight="1" thickTop="1" x14ac:dyDescent="0.2"/>
    <row r="2948" spans="1:21" ht="11.85" customHeight="1" x14ac:dyDescent="0.2"/>
    <row r="2949" spans="1:21" ht="11.85" customHeight="1" x14ac:dyDescent="0.2"/>
    <row r="2950" spans="1:21" ht="11.85" customHeight="1" x14ac:dyDescent="0.2"/>
    <row r="2951" spans="1:21" ht="11.85" customHeight="1" x14ac:dyDescent="0.2"/>
    <row r="2952" spans="1:21" ht="11.85" customHeight="1" x14ac:dyDescent="0.2"/>
    <row r="2953" spans="1:21" ht="11.85" customHeight="1" x14ac:dyDescent="0.2"/>
    <row r="2954" spans="1:21" ht="11.85" customHeight="1" x14ac:dyDescent="0.2"/>
    <row r="2955" spans="1:21" ht="11.85" customHeight="1" x14ac:dyDescent="0.2"/>
    <row r="2956" spans="1:21" ht="11.85" customHeight="1" x14ac:dyDescent="0.2"/>
    <row r="2957" spans="1:21" ht="11.85" customHeight="1" x14ac:dyDescent="0.2"/>
    <row r="2958" spans="1:21" ht="11.85" customHeight="1" x14ac:dyDescent="0.2"/>
    <row r="2959" spans="1:21" ht="11.85" customHeight="1" x14ac:dyDescent="0.2"/>
    <row r="2960" spans="1:21" ht="11.85" customHeight="1" x14ac:dyDescent="0.2"/>
    <row r="2961" ht="11.85" customHeight="1" x14ac:dyDescent="0.2"/>
    <row r="2962" ht="11.85" customHeight="1" x14ac:dyDescent="0.2"/>
    <row r="2963" ht="11.85" customHeight="1" x14ac:dyDescent="0.2"/>
    <row r="2964" ht="11.85" customHeight="1" x14ac:dyDescent="0.2"/>
    <row r="2965" ht="11.85" customHeight="1" x14ac:dyDescent="0.2"/>
    <row r="2966" ht="11.85" customHeight="1" x14ac:dyDescent="0.2"/>
    <row r="2967" ht="11.85" customHeight="1" x14ac:dyDescent="0.2"/>
    <row r="2968" ht="11.85" customHeight="1" x14ac:dyDescent="0.2"/>
    <row r="2969" ht="11.85" customHeight="1" x14ac:dyDescent="0.2"/>
    <row r="2970" ht="11.85" customHeight="1" x14ac:dyDescent="0.2"/>
    <row r="2971" ht="11.85" customHeight="1" x14ac:dyDescent="0.2"/>
    <row r="2972" ht="11.85" customHeight="1" x14ac:dyDescent="0.2"/>
    <row r="2973" ht="11.85" customHeight="1" x14ac:dyDescent="0.2"/>
    <row r="2974" ht="11.85" customHeight="1" x14ac:dyDescent="0.2"/>
    <row r="2975" ht="11.85" customHeight="1" x14ac:dyDescent="0.2"/>
    <row r="2976" ht="11.85" customHeight="1" x14ac:dyDescent="0.2"/>
    <row r="2977" ht="11.85" customHeight="1" x14ac:dyDescent="0.2"/>
    <row r="2978" ht="11.85" customHeight="1" x14ac:dyDescent="0.2"/>
    <row r="2979" ht="11.85" customHeight="1" x14ac:dyDescent="0.2"/>
    <row r="2980" ht="11.85" customHeight="1" x14ac:dyDescent="0.2"/>
    <row r="2981" ht="11.85" customHeight="1" x14ac:dyDescent="0.2"/>
    <row r="2982" ht="11.85" customHeight="1" x14ac:dyDescent="0.2"/>
    <row r="2983" ht="11.85" customHeight="1" x14ac:dyDescent="0.2"/>
    <row r="2984" ht="11.85" customHeight="1" x14ac:dyDescent="0.2"/>
    <row r="2985" ht="11.85" customHeight="1" x14ac:dyDescent="0.2"/>
    <row r="2986" ht="11.85" customHeight="1" x14ac:dyDescent="0.2"/>
    <row r="2987" ht="11.85" customHeight="1" x14ac:dyDescent="0.2"/>
    <row r="2988" ht="11.85" customHeight="1" x14ac:dyDescent="0.2"/>
    <row r="2989" ht="11.85" customHeight="1" x14ac:dyDescent="0.2"/>
    <row r="2990" ht="11.85" customHeight="1" x14ac:dyDescent="0.2"/>
    <row r="2991" ht="11.85" customHeight="1" x14ac:dyDescent="0.2"/>
    <row r="2992" ht="11.85" customHeight="1" x14ac:dyDescent="0.2"/>
    <row r="2993" spans="1:19" ht="11.85" customHeight="1" x14ac:dyDescent="0.2"/>
    <row r="2994" spans="1:19" ht="11.85" customHeight="1" x14ac:dyDescent="0.2">
      <c r="A2994" s="1"/>
      <c r="B2994" s="1"/>
      <c r="E2994" s="2" t="str">
        <f>$E$1</f>
        <v>CITY OF BRADY</v>
      </c>
    </row>
    <row r="2995" spans="1:19" ht="11.85" customHeight="1" x14ac:dyDescent="0.2">
      <c r="E2995" s="2" t="str">
        <f>$E$2</f>
        <v>BUDGET REPORT</v>
      </c>
    </row>
    <row r="2996" spans="1:19" ht="11.85" customHeight="1" x14ac:dyDescent="0.2">
      <c r="E2996" s="2" t="str">
        <f>$E$3</f>
        <v>FISCAL YEAR 2024 - 2025</v>
      </c>
    </row>
    <row r="2997" spans="1:19" ht="11.85" customHeight="1" x14ac:dyDescent="0.2">
      <c r="A2997" s="3" t="s">
        <v>1306</v>
      </c>
      <c r="S2997" s="42"/>
    </row>
    <row r="2998" spans="1:19" ht="11.85" customHeight="1" x14ac:dyDescent="0.2"/>
    <row r="2999" spans="1:19" ht="11.85" customHeight="1" x14ac:dyDescent="0.2">
      <c r="I2999" s="53" t="str">
        <f>$I$6</f>
        <v>(----- 2023-2024------)</v>
      </c>
      <c r="J2999" s="53"/>
      <c r="K2999" s="53"/>
      <c r="L2999" s="6"/>
      <c r="M2999" s="54" t="str">
        <f>$M$6</f>
        <v>2024-2025</v>
      </c>
      <c r="N2999" s="54"/>
      <c r="O2999" s="54"/>
      <c r="P2999" s="54"/>
      <c r="Q2999" s="54"/>
    </row>
    <row r="3000" spans="1:19" ht="11.85" customHeight="1" x14ac:dyDescent="0.2">
      <c r="C3000" s="5" t="str">
        <f>$C$7</f>
        <v>2020-2021</v>
      </c>
      <c r="D3000" s="5"/>
      <c r="E3000" s="5" t="str">
        <f>$E$7</f>
        <v>2021-2022</v>
      </c>
      <c r="F3000" s="5"/>
      <c r="G3000" s="5" t="str">
        <f>$G$7</f>
        <v>2022-2023</v>
      </c>
      <c r="H3000" s="5"/>
      <c r="I3000" s="5" t="s">
        <v>9</v>
      </c>
      <c r="J3000" s="5"/>
      <c r="K3000" s="5" t="str">
        <f>+$K$7</f>
        <v>PROJECTED</v>
      </c>
      <c r="L3000" s="6"/>
      <c r="M3000" s="5">
        <f>$M$7</f>
        <v>0</v>
      </c>
      <c r="N3000" s="6"/>
      <c r="O3000" s="5" t="str">
        <f>$O$7</f>
        <v>2024-2025</v>
      </c>
      <c r="P3000" s="6"/>
      <c r="Q3000" s="5" t="str">
        <f>$Q$7</f>
        <v>APPROVED</v>
      </c>
    </row>
    <row r="3001" spans="1:19" ht="11.85" customHeight="1" x14ac:dyDescent="0.2">
      <c r="A3001" s="7"/>
      <c r="C3001" s="8" t="s">
        <v>12</v>
      </c>
      <c r="D3001" s="5"/>
      <c r="E3001" s="8" t="s">
        <v>12</v>
      </c>
      <c r="F3001" s="5"/>
      <c r="G3001" s="8" t="s">
        <v>12</v>
      </c>
      <c r="H3001" s="5"/>
      <c r="I3001" s="8" t="s">
        <v>13</v>
      </c>
      <c r="J3001" s="5"/>
      <c r="K3001" s="8" t="s">
        <v>13</v>
      </c>
      <c r="L3001" s="6"/>
      <c r="M3001" s="8" t="str">
        <f>$M$8</f>
        <v>BASE</v>
      </c>
      <c r="N3001" s="6"/>
      <c r="O3001" s="8" t="str">
        <f>$O$8</f>
        <v>SUPPLEMENTAL</v>
      </c>
      <c r="P3001" s="6"/>
      <c r="Q3001" s="8" t="str">
        <f>$Q$8</f>
        <v>BUDGET</v>
      </c>
    </row>
    <row r="3002" spans="1:19" ht="11.85" customHeight="1" x14ac:dyDescent="0.2">
      <c r="S3002" s="18"/>
    </row>
    <row r="3003" spans="1:19" ht="11.85" customHeight="1" x14ac:dyDescent="0.2">
      <c r="A3003" s="3" t="s">
        <v>16</v>
      </c>
    </row>
    <row r="3004" spans="1:19" ht="11.85" customHeight="1" x14ac:dyDescent="0.2">
      <c r="A3004" s="3" t="s">
        <v>17</v>
      </c>
      <c r="C3004" s="2">
        <v>5562613.1200000001</v>
      </c>
      <c r="E3004" s="2">
        <f>+C3722</f>
        <v>5918183.6700000009</v>
      </c>
      <c r="G3004" s="2">
        <f>+E3722</f>
        <v>6357896.5800000019</v>
      </c>
      <c r="I3004" s="2">
        <f>+G3722</f>
        <v>6513293.1300000027</v>
      </c>
      <c r="K3004" s="2">
        <f>+I3004</f>
        <v>6513293.1300000027</v>
      </c>
      <c r="L3004" s="9"/>
      <c r="M3004" s="2">
        <f>+K3722</f>
        <v>5078199.1300000027</v>
      </c>
      <c r="N3004" s="9"/>
      <c r="P3004" s="9"/>
      <c r="Q3004" s="2">
        <f>+M3004</f>
        <v>5078199.1300000027</v>
      </c>
    </row>
    <row r="3005" spans="1:19" ht="11.85" customHeight="1" x14ac:dyDescent="0.2">
      <c r="L3005" s="9"/>
      <c r="N3005" s="9"/>
      <c r="P3005" s="9"/>
    </row>
    <row r="3006" spans="1:19" ht="11.45" customHeight="1" x14ac:dyDescent="0.2">
      <c r="A3006" s="10" t="s">
        <v>18</v>
      </c>
      <c r="L3006" s="9"/>
      <c r="N3006" s="9"/>
      <c r="P3006" s="9"/>
    </row>
    <row r="3007" spans="1:19" ht="11.85" customHeight="1" x14ac:dyDescent="0.2">
      <c r="A3007" s="10"/>
      <c r="L3007" s="9"/>
      <c r="N3007" s="9"/>
      <c r="P3007" s="9"/>
    </row>
    <row r="3008" spans="1:19" ht="11.85" customHeight="1" x14ac:dyDescent="0.2">
      <c r="A3008" s="10" t="s">
        <v>1159</v>
      </c>
      <c r="L3008" s="9"/>
      <c r="N3008" s="9"/>
      <c r="P3008" s="9"/>
    </row>
    <row r="3009" spans="1:21" ht="11.85" customHeight="1" x14ac:dyDescent="0.2">
      <c r="A3009" s="3" t="s">
        <v>1307</v>
      </c>
      <c r="C3009" s="2">
        <v>796486.66</v>
      </c>
      <c r="E3009" s="2">
        <v>807151.37</v>
      </c>
      <c r="G3009" s="2">
        <v>804196.37</v>
      </c>
      <c r="I3009" s="2">
        <v>800000</v>
      </c>
      <c r="K3009" s="2">
        <v>800000</v>
      </c>
      <c r="L3009" s="9"/>
      <c r="M3009" s="2">
        <v>800000</v>
      </c>
      <c r="N3009" s="9"/>
      <c r="O3009" s="2">
        <v>0</v>
      </c>
      <c r="P3009" s="9"/>
      <c r="Q3009" s="2">
        <f>M3009+O3009</f>
        <v>800000</v>
      </c>
    </row>
    <row r="3010" spans="1:21" ht="11.85" customHeight="1" x14ac:dyDescent="0.2">
      <c r="A3010" s="3" t="s">
        <v>1308</v>
      </c>
      <c r="C3010" s="2">
        <v>414145.74</v>
      </c>
      <c r="E3010" s="2">
        <v>435926.77</v>
      </c>
      <c r="G3010" s="2">
        <v>423221.12</v>
      </c>
      <c r="I3010" s="2">
        <v>420000</v>
      </c>
      <c r="K3010" s="2">
        <v>420000</v>
      </c>
      <c r="L3010" s="9"/>
      <c r="M3010" s="2">
        <v>400000</v>
      </c>
      <c r="N3010" s="9"/>
      <c r="O3010" s="2">
        <v>0</v>
      </c>
      <c r="P3010" s="9"/>
      <c r="Q3010" s="2">
        <f>M3010+O3010</f>
        <v>400000</v>
      </c>
    </row>
    <row r="3011" spans="1:21" ht="11.85" customHeight="1" x14ac:dyDescent="0.2">
      <c r="A3011" s="3" t="s">
        <v>1309</v>
      </c>
      <c r="C3011" s="2">
        <v>17604.8</v>
      </c>
      <c r="E3011" s="2">
        <v>20509.88</v>
      </c>
      <c r="G3011" s="2">
        <v>20887.650000000001</v>
      </c>
      <c r="I3011" s="2">
        <v>15000</v>
      </c>
      <c r="K3011" s="2">
        <v>15000</v>
      </c>
      <c r="L3011" s="9"/>
      <c r="M3011" s="2">
        <v>20000</v>
      </c>
      <c r="N3011" s="9"/>
      <c r="O3011" s="2">
        <v>0</v>
      </c>
      <c r="P3011" s="9"/>
      <c r="Q3011" s="2">
        <f>M3011+O3011</f>
        <v>20000</v>
      </c>
    </row>
    <row r="3012" spans="1:21" ht="11.85" customHeight="1" x14ac:dyDescent="0.2">
      <c r="A3012" s="3" t="s">
        <v>1310</v>
      </c>
      <c r="C3012" s="12">
        <v>0</v>
      </c>
      <c r="E3012" s="12">
        <v>0</v>
      </c>
      <c r="G3012" s="12">
        <v>0</v>
      </c>
      <c r="I3012" s="12">
        <v>0</v>
      </c>
      <c r="K3012" s="12">
        <v>0</v>
      </c>
      <c r="L3012" s="9"/>
      <c r="M3012" s="12">
        <v>0</v>
      </c>
      <c r="N3012" s="9"/>
      <c r="O3012" s="12">
        <v>0</v>
      </c>
      <c r="P3012" s="9"/>
      <c r="Q3012" s="12">
        <f>M3012+O3012</f>
        <v>0</v>
      </c>
    </row>
    <row r="3013" spans="1:21" ht="11.85" customHeight="1" x14ac:dyDescent="0.2">
      <c r="A3013" s="3" t="s">
        <v>1164</v>
      </c>
      <c r="C3013" s="2">
        <f>SUM(C3009:C3012)</f>
        <v>1228237.2</v>
      </c>
      <c r="E3013" s="2">
        <f>SUM(E3009:E3012)</f>
        <v>1263588.02</v>
      </c>
      <c r="G3013" s="2">
        <f>SUM(G3009:G3012)</f>
        <v>1248305.1399999999</v>
      </c>
      <c r="I3013" s="2">
        <f>SUM(I3009:I3012)</f>
        <v>1235000</v>
      </c>
      <c r="K3013" s="2">
        <f>SUM(K3009:K3012)</f>
        <v>1235000</v>
      </c>
      <c r="L3013" s="9"/>
      <c r="M3013" s="2">
        <f>SUM(M3009:M3012)</f>
        <v>1220000</v>
      </c>
      <c r="N3013" s="9"/>
      <c r="O3013" s="2">
        <f>SUM(O3009:O3012)</f>
        <v>0</v>
      </c>
      <c r="P3013" s="9"/>
      <c r="Q3013" s="2">
        <f>SUM(Q3009:Q3012)</f>
        <v>1220000</v>
      </c>
      <c r="R3013" s="9"/>
    </row>
    <row r="3014" spans="1:21" ht="11.85" customHeight="1" x14ac:dyDescent="0.2">
      <c r="A3014" s="10"/>
      <c r="L3014" s="9"/>
      <c r="N3014" s="9"/>
      <c r="P3014" s="9"/>
    </row>
    <row r="3015" spans="1:21" ht="11.85" customHeight="1" x14ac:dyDescent="0.2">
      <c r="A3015" s="10" t="s">
        <v>1165</v>
      </c>
      <c r="L3015" s="9"/>
      <c r="N3015" s="9"/>
      <c r="P3015" s="9"/>
    </row>
    <row r="3016" spans="1:21" ht="11.85" customHeight="1" x14ac:dyDescent="0.2">
      <c r="A3016" s="3" t="s">
        <v>1311</v>
      </c>
      <c r="C3016" s="2">
        <v>10612.5</v>
      </c>
      <c r="E3016" s="2">
        <v>8350</v>
      </c>
      <c r="G3016" s="2">
        <v>4775</v>
      </c>
      <c r="I3016" s="2">
        <v>8000</v>
      </c>
      <c r="K3016" s="2">
        <v>8000</v>
      </c>
      <c r="L3016" s="9"/>
      <c r="M3016" s="2">
        <v>5000</v>
      </c>
      <c r="N3016" s="9"/>
      <c r="O3016" s="2">
        <v>0</v>
      </c>
      <c r="P3016" s="9"/>
      <c r="Q3016" s="2">
        <f>M3016+O3016</f>
        <v>5000</v>
      </c>
    </row>
    <row r="3017" spans="1:21" ht="11.85" customHeight="1" x14ac:dyDescent="0.2">
      <c r="A3017" s="3" t="s">
        <v>1312</v>
      </c>
      <c r="C3017" s="2">
        <v>1952.64</v>
      </c>
      <c r="E3017" s="2">
        <v>0</v>
      </c>
      <c r="G3017" s="2">
        <v>0</v>
      </c>
      <c r="I3017" s="2">
        <v>0</v>
      </c>
      <c r="K3017" s="2">
        <v>0</v>
      </c>
      <c r="L3017" s="9"/>
      <c r="M3017" s="2">
        <v>0</v>
      </c>
      <c r="N3017" s="9"/>
      <c r="O3017" s="2">
        <v>0</v>
      </c>
      <c r="P3017" s="9"/>
      <c r="Q3017" s="2">
        <f>M3017+O3017</f>
        <v>0</v>
      </c>
    </row>
    <row r="3018" spans="1:21" ht="11.85" customHeight="1" x14ac:dyDescent="0.2">
      <c r="A3018" s="3" t="s">
        <v>1313</v>
      </c>
      <c r="C3018" s="2">
        <v>1000</v>
      </c>
      <c r="E3018" s="2">
        <v>750</v>
      </c>
      <c r="G3018" s="2">
        <v>1750</v>
      </c>
      <c r="I3018" s="2">
        <v>0</v>
      </c>
      <c r="K3018" s="2">
        <v>0</v>
      </c>
      <c r="L3018" s="9"/>
      <c r="M3018" s="2">
        <v>500</v>
      </c>
      <c r="N3018" s="9"/>
      <c r="O3018" s="2">
        <v>0</v>
      </c>
      <c r="P3018" s="9"/>
      <c r="Q3018" s="2">
        <f>M3018+O3018</f>
        <v>500</v>
      </c>
    </row>
    <row r="3019" spans="1:21" ht="11.85" customHeight="1" x14ac:dyDescent="0.2">
      <c r="A3019" s="3" t="s">
        <v>1314</v>
      </c>
      <c r="C3019" s="2">
        <v>22385.83</v>
      </c>
      <c r="E3019" s="2">
        <v>29145.15</v>
      </c>
      <c r="G3019" s="2">
        <v>171335.53</v>
      </c>
      <c r="I3019" s="2">
        <v>90000</v>
      </c>
      <c r="K3019" s="2">
        <f>90000+75000</f>
        <v>165000</v>
      </c>
      <c r="L3019" s="9"/>
      <c r="M3019" s="2">
        <v>100000</v>
      </c>
      <c r="N3019" s="9"/>
      <c r="O3019" s="2">
        <v>0</v>
      </c>
      <c r="P3019" s="9"/>
      <c r="Q3019" s="2">
        <f>M3019+O3019</f>
        <v>100000</v>
      </c>
    </row>
    <row r="3020" spans="1:21" ht="11.85" customHeight="1" x14ac:dyDescent="0.2">
      <c r="A3020" s="3" t="s">
        <v>1315</v>
      </c>
      <c r="C3020" s="12">
        <v>0</v>
      </c>
      <c r="E3020" s="12">
        <v>0</v>
      </c>
      <c r="G3020" s="12">
        <v>500</v>
      </c>
      <c r="I3020" s="12">
        <v>0</v>
      </c>
      <c r="K3020" s="12">
        <v>0</v>
      </c>
      <c r="L3020" s="9"/>
      <c r="M3020" s="12">
        <v>0</v>
      </c>
      <c r="N3020" s="9"/>
      <c r="O3020" s="12">
        <v>0</v>
      </c>
      <c r="P3020" s="9"/>
      <c r="Q3020" s="12">
        <f>M3020+O3020</f>
        <v>0</v>
      </c>
    </row>
    <row r="3021" spans="1:21" ht="11.25" customHeight="1" x14ac:dyDescent="0.2">
      <c r="A3021" s="3" t="s">
        <v>1170</v>
      </c>
      <c r="C3021" s="2">
        <f>SUM(C3016:C3020)</f>
        <v>35950.97</v>
      </c>
      <c r="E3021" s="2">
        <f>SUM(E3016:E3020)</f>
        <v>38245.15</v>
      </c>
      <c r="G3021" s="2">
        <f>SUM(G3016:G3020)</f>
        <v>178360.53</v>
      </c>
      <c r="I3021" s="2">
        <f>SUM(I3016:I3020)</f>
        <v>98000</v>
      </c>
      <c r="K3021" s="2">
        <f>SUM(K3016:K3020)</f>
        <v>173000</v>
      </c>
      <c r="L3021" s="9"/>
      <c r="M3021" s="2">
        <f>SUM(M3016:M3020)</f>
        <v>105500</v>
      </c>
      <c r="N3021" s="9"/>
      <c r="O3021" s="2">
        <f>SUM(O3016:O3020)</f>
        <v>0</v>
      </c>
      <c r="P3021" s="9"/>
      <c r="Q3021" s="2">
        <f>SUM(Q3016:Q3020)</f>
        <v>105500</v>
      </c>
      <c r="U3021" s="2"/>
    </row>
    <row r="3022" spans="1:21" ht="11.85" customHeight="1" x14ac:dyDescent="0.2">
      <c r="L3022" s="9"/>
      <c r="N3022" s="9"/>
      <c r="P3022" s="9"/>
    </row>
    <row r="3023" spans="1:21" ht="11.85" hidden="1" customHeight="1" x14ac:dyDescent="0.2">
      <c r="A3023" s="10" t="s">
        <v>1316</v>
      </c>
      <c r="L3023" s="9"/>
      <c r="N3023" s="9"/>
      <c r="P3023" s="9"/>
    </row>
    <row r="3024" spans="1:21" ht="11.85" hidden="1" customHeight="1" x14ac:dyDescent="0.2">
      <c r="A3024" s="3" t="s">
        <v>1317</v>
      </c>
      <c r="C3024" s="12">
        <v>0</v>
      </c>
      <c r="E3024" s="12">
        <v>0</v>
      </c>
      <c r="G3024" s="12">
        <v>0</v>
      </c>
      <c r="I3024" s="12">
        <v>0</v>
      </c>
      <c r="K3024" s="12">
        <v>0</v>
      </c>
      <c r="L3024" s="9"/>
      <c r="M3024" s="12">
        <v>0</v>
      </c>
      <c r="N3024" s="9"/>
      <c r="O3024" s="12">
        <v>0</v>
      </c>
      <c r="P3024" s="9"/>
      <c r="Q3024" s="12">
        <f>M3024+O3024</f>
        <v>0</v>
      </c>
    </row>
    <row r="3025" spans="1:32" ht="11.85" hidden="1" customHeight="1" x14ac:dyDescent="0.2">
      <c r="A3025" s="3" t="s">
        <v>1318</v>
      </c>
      <c r="C3025" s="12">
        <v>0</v>
      </c>
      <c r="E3025" s="12">
        <v>0</v>
      </c>
      <c r="G3025" s="12">
        <v>0</v>
      </c>
      <c r="I3025" s="12">
        <v>0</v>
      </c>
      <c r="K3025" s="12">
        <v>0</v>
      </c>
      <c r="L3025" s="9"/>
      <c r="M3025" s="12">
        <v>0</v>
      </c>
      <c r="N3025" s="9"/>
      <c r="O3025" s="12">
        <v>0</v>
      </c>
      <c r="P3025" s="9"/>
      <c r="Q3025" s="12">
        <f>M3025+O3025</f>
        <v>0</v>
      </c>
    </row>
    <row r="3026" spans="1:32" ht="11.85" hidden="1" customHeight="1" x14ac:dyDescent="0.2">
      <c r="A3026" s="3" t="s">
        <v>1174</v>
      </c>
      <c r="C3026" s="2">
        <f>SUM(C3024:C3025)</f>
        <v>0</v>
      </c>
      <c r="E3026" s="2">
        <f>SUM(E3024:E3025)</f>
        <v>0</v>
      </c>
      <c r="G3026" s="2">
        <f>SUM(G3024:G3025)</f>
        <v>0</v>
      </c>
      <c r="I3026" s="2">
        <f>SUM(I3024:I3025)</f>
        <v>0</v>
      </c>
      <c r="K3026" s="2">
        <f>SUM(K3024:K3025)</f>
        <v>0</v>
      </c>
      <c r="L3026" s="9"/>
      <c r="M3026" s="2">
        <f>SUM(M3024:M3025)</f>
        <v>0</v>
      </c>
      <c r="N3026" s="9"/>
      <c r="O3026" s="2">
        <f>SUM(O3024:O3025)</f>
        <v>0</v>
      </c>
      <c r="P3026" s="9"/>
      <c r="Q3026" s="2">
        <f>SUM(Q3024:Q3025)</f>
        <v>0</v>
      </c>
      <c r="AF3026" s="2"/>
    </row>
    <row r="3027" spans="1:32" ht="11.85" hidden="1" customHeight="1" x14ac:dyDescent="0.2">
      <c r="A3027" s="10"/>
      <c r="L3027" s="9"/>
      <c r="N3027" s="9"/>
      <c r="P3027" s="9"/>
    </row>
    <row r="3028" spans="1:32" ht="11.85" customHeight="1" x14ac:dyDescent="0.2">
      <c r="A3028" s="10" t="s">
        <v>1319</v>
      </c>
      <c r="L3028" s="9"/>
      <c r="N3028" s="9"/>
      <c r="P3028" s="9"/>
    </row>
    <row r="3029" spans="1:32" ht="11.85" customHeight="1" x14ac:dyDescent="0.2">
      <c r="A3029" s="3" t="s">
        <v>1320</v>
      </c>
      <c r="C3029" s="2">
        <v>1774179.79</v>
      </c>
      <c r="E3029" s="2">
        <v>1943951.55</v>
      </c>
      <c r="G3029" s="2">
        <v>1895067.2</v>
      </c>
      <c r="I3029" s="2">
        <v>1800000</v>
      </c>
      <c r="K3029" s="2">
        <v>1800000</v>
      </c>
      <c r="L3029" s="9"/>
      <c r="M3029" s="2">
        <v>1800000</v>
      </c>
      <c r="N3029" s="9"/>
      <c r="O3029" s="9">
        <v>0</v>
      </c>
      <c r="P3029" s="9"/>
      <c r="Q3029" s="2">
        <f t="shared" ref="Q3029:Q3034" si="89">M3029+O3029</f>
        <v>1800000</v>
      </c>
      <c r="R3029" s="9"/>
    </row>
    <row r="3030" spans="1:32" ht="11.85" customHeight="1" x14ac:dyDescent="0.2">
      <c r="A3030" s="3" t="s">
        <v>1321</v>
      </c>
      <c r="C3030" s="2">
        <v>701358.67</v>
      </c>
      <c r="E3030" s="2">
        <v>775948.6</v>
      </c>
      <c r="G3030" s="2">
        <v>734653.99</v>
      </c>
      <c r="I3030" s="2">
        <v>700000</v>
      </c>
      <c r="K3030" s="2">
        <v>700000</v>
      </c>
      <c r="L3030" s="9"/>
      <c r="M3030" s="2">
        <v>700000</v>
      </c>
      <c r="N3030" s="9"/>
      <c r="O3030" s="9">
        <v>0</v>
      </c>
      <c r="P3030" s="9"/>
      <c r="Q3030" s="2">
        <f t="shared" si="89"/>
        <v>700000</v>
      </c>
    </row>
    <row r="3031" spans="1:32" ht="11.85" customHeight="1" x14ac:dyDescent="0.2">
      <c r="A3031" s="3" t="s">
        <v>1322</v>
      </c>
      <c r="C3031" s="2">
        <v>17883.32</v>
      </c>
      <c r="E3031" s="2">
        <v>19861.689999999999</v>
      </c>
      <c r="G3031" s="2">
        <v>21086.6</v>
      </c>
      <c r="I3031" s="2">
        <v>18000</v>
      </c>
      <c r="K3031" s="2">
        <v>18000</v>
      </c>
      <c r="L3031" s="9"/>
      <c r="M3031" s="2">
        <v>20000</v>
      </c>
      <c r="N3031" s="9"/>
      <c r="O3031" s="9">
        <v>0</v>
      </c>
      <c r="P3031" s="9"/>
      <c r="Q3031" s="2">
        <f t="shared" si="89"/>
        <v>20000</v>
      </c>
    </row>
    <row r="3032" spans="1:32" ht="11.85" customHeight="1" x14ac:dyDescent="0.2">
      <c r="A3032" s="3" t="s">
        <v>1323</v>
      </c>
      <c r="C3032" s="2">
        <v>25625.52</v>
      </c>
      <c r="E3032" s="2">
        <v>9866.74</v>
      </c>
      <c r="G3032" s="2">
        <v>1891.9</v>
      </c>
      <c r="I3032" s="2">
        <v>5000</v>
      </c>
      <c r="K3032" s="2">
        <v>5000</v>
      </c>
      <c r="L3032" s="9"/>
      <c r="M3032" s="2">
        <v>5000</v>
      </c>
      <c r="N3032" s="9"/>
      <c r="O3032" s="9">
        <v>0</v>
      </c>
      <c r="P3032" s="9"/>
      <c r="Q3032" s="2">
        <f t="shared" si="89"/>
        <v>5000</v>
      </c>
    </row>
    <row r="3033" spans="1:32" ht="11.85" customHeight="1" x14ac:dyDescent="0.2">
      <c r="A3033" s="3" t="s">
        <v>1324</v>
      </c>
      <c r="C3033" s="2">
        <v>178506.33</v>
      </c>
      <c r="E3033" s="2">
        <v>260493.29</v>
      </c>
      <c r="G3033" s="2">
        <v>198043.09</v>
      </c>
      <c r="I3033" s="2">
        <v>220000</v>
      </c>
      <c r="K3033" s="2">
        <v>220000</v>
      </c>
      <c r="L3033" s="9"/>
      <c r="M3033" s="2">
        <v>60000</v>
      </c>
      <c r="N3033" s="9"/>
      <c r="O3033" s="9">
        <v>0</v>
      </c>
      <c r="P3033" s="9"/>
      <c r="Q3033" s="2">
        <f t="shared" si="89"/>
        <v>60000</v>
      </c>
    </row>
    <row r="3034" spans="1:32" ht="11.85" customHeight="1" x14ac:dyDescent="0.2">
      <c r="A3034" s="3" t="s">
        <v>1325</v>
      </c>
      <c r="C3034" s="12">
        <v>0</v>
      </c>
      <c r="E3034" s="12">
        <v>0</v>
      </c>
      <c r="G3034" s="12">
        <v>0</v>
      </c>
      <c r="I3034" s="12">
        <v>0</v>
      </c>
      <c r="K3034" s="12">
        <v>0</v>
      </c>
      <c r="L3034" s="9"/>
      <c r="M3034" s="27">
        <v>0</v>
      </c>
      <c r="N3034" s="9"/>
      <c r="O3034" s="27">
        <v>0</v>
      </c>
      <c r="P3034" s="9"/>
      <c r="Q3034" s="27">
        <f t="shared" si="89"/>
        <v>0</v>
      </c>
    </row>
    <row r="3035" spans="1:32" ht="11.85" customHeight="1" x14ac:dyDescent="0.2">
      <c r="A3035" s="3" t="s">
        <v>1326</v>
      </c>
      <c r="C3035" s="2">
        <f>SUM(C3029:C3034)</f>
        <v>2697553.63</v>
      </c>
      <c r="E3035" s="2">
        <f>SUM(E3029:E3034)</f>
        <v>3010121.87</v>
      </c>
      <c r="G3035" s="2">
        <f>SUM(G3029:G3034)</f>
        <v>2850742.78</v>
      </c>
      <c r="I3035" s="2">
        <f>SUM(I3029:I3034)</f>
        <v>2743000</v>
      </c>
      <c r="K3035" s="2">
        <f>SUM(K3029:K3034)</f>
        <v>2743000</v>
      </c>
      <c r="L3035" s="9"/>
      <c r="M3035" s="2">
        <f>SUM(M3029:M3034)</f>
        <v>2585000</v>
      </c>
      <c r="N3035" s="9"/>
      <c r="O3035" s="9">
        <f>SUM(O3029:O3034)</f>
        <v>0</v>
      </c>
      <c r="P3035" s="9"/>
      <c r="Q3035" s="2">
        <f>SUM(Q3029:Q3034)</f>
        <v>2585000</v>
      </c>
      <c r="R3035" s="9"/>
    </row>
    <row r="3036" spans="1:32" ht="13.15" customHeight="1" x14ac:dyDescent="0.2">
      <c r="L3036" s="9"/>
      <c r="N3036" s="9"/>
      <c r="P3036" s="9"/>
    </row>
    <row r="3037" spans="1:32" ht="11.85" customHeight="1" x14ac:dyDescent="0.2">
      <c r="A3037" s="10" t="s">
        <v>1327</v>
      </c>
      <c r="L3037" s="9"/>
      <c r="N3037" s="9"/>
      <c r="P3037" s="9"/>
    </row>
    <row r="3038" spans="1:32" ht="11.85" customHeight="1" x14ac:dyDescent="0.2">
      <c r="A3038" s="3" t="s">
        <v>1328</v>
      </c>
      <c r="C3038" s="2">
        <v>0</v>
      </c>
      <c r="E3038" s="2">
        <v>438.1</v>
      </c>
      <c r="G3038" s="2">
        <v>0</v>
      </c>
      <c r="I3038" s="2">
        <v>0</v>
      </c>
      <c r="K3038" s="2">
        <v>0</v>
      </c>
      <c r="L3038" s="9"/>
      <c r="M3038" s="2">
        <v>0</v>
      </c>
      <c r="N3038" s="9"/>
      <c r="O3038" s="2">
        <v>0</v>
      </c>
      <c r="P3038" s="9"/>
      <c r="Q3038" s="2">
        <f t="shared" ref="Q3038:Q3046" si="90">M3038+O3038</f>
        <v>0</v>
      </c>
    </row>
    <row r="3039" spans="1:32" ht="11.85" customHeight="1" x14ac:dyDescent="0.2">
      <c r="A3039" s="3" t="s">
        <v>1329</v>
      </c>
      <c r="C3039" s="2">
        <v>10120.870000000001</v>
      </c>
      <c r="E3039" s="2">
        <v>2113.46</v>
      </c>
      <c r="G3039" s="2">
        <v>79475.009999999995</v>
      </c>
      <c r="I3039" s="2">
        <v>0</v>
      </c>
      <c r="K3039" s="2">
        <v>0</v>
      </c>
      <c r="L3039" s="9"/>
      <c r="M3039" s="2">
        <v>0</v>
      </c>
      <c r="N3039" s="9"/>
      <c r="O3039" s="2">
        <v>0</v>
      </c>
      <c r="P3039" s="9"/>
      <c r="Q3039" s="2">
        <f t="shared" si="90"/>
        <v>0</v>
      </c>
    </row>
    <row r="3040" spans="1:32" ht="11.85" customHeight="1" x14ac:dyDescent="0.2">
      <c r="A3040" s="3" t="s">
        <v>1330</v>
      </c>
      <c r="C3040" s="2">
        <v>0</v>
      </c>
      <c r="E3040" s="2">
        <v>0</v>
      </c>
      <c r="G3040" s="2">
        <v>0</v>
      </c>
      <c r="I3040" s="2">
        <v>0</v>
      </c>
      <c r="K3040" s="2">
        <v>0</v>
      </c>
      <c r="L3040" s="9"/>
      <c r="M3040" s="2">
        <v>0</v>
      </c>
      <c r="N3040" s="9"/>
      <c r="O3040" s="2">
        <v>0</v>
      </c>
      <c r="P3040" s="9"/>
      <c r="Q3040" s="2">
        <f t="shared" si="90"/>
        <v>0</v>
      </c>
    </row>
    <row r="3041" spans="1:32" ht="11.85" customHeight="1" x14ac:dyDescent="0.2">
      <c r="A3041" s="3" t="s">
        <v>1331</v>
      </c>
      <c r="C3041" s="2">
        <v>132900.5</v>
      </c>
      <c r="E3041" s="2">
        <v>116974.5</v>
      </c>
      <c r="G3041" s="2">
        <v>332025</v>
      </c>
      <c r="I3041" s="2">
        <v>0</v>
      </c>
      <c r="K3041" s="2">
        <v>47025</v>
      </c>
      <c r="L3041" s="9"/>
      <c r="M3041" s="2">
        <v>0</v>
      </c>
      <c r="N3041" s="9"/>
      <c r="O3041" s="2">
        <v>0</v>
      </c>
      <c r="P3041" s="9"/>
      <c r="Q3041" s="2">
        <f t="shared" si="90"/>
        <v>0</v>
      </c>
    </row>
    <row r="3042" spans="1:32" ht="11.85" customHeight="1" x14ac:dyDescent="0.2">
      <c r="A3042" s="3" t="s">
        <v>1332</v>
      </c>
      <c r="C3042" s="2">
        <v>7736.92</v>
      </c>
      <c r="E3042" s="2">
        <v>5028.28</v>
      </c>
      <c r="G3042" s="2">
        <v>710</v>
      </c>
      <c r="I3042" s="2">
        <v>0</v>
      </c>
      <c r="K3042" s="2">
        <v>0</v>
      </c>
      <c r="L3042" s="9"/>
      <c r="M3042" s="2">
        <v>500</v>
      </c>
      <c r="N3042" s="9"/>
      <c r="O3042" s="2">
        <v>0</v>
      </c>
      <c r="P3042" s="9"/>
      <c r="Q3042" s="2">
        <f t="shared" si="90"/>
        <v>500</v>
      </c>
    </row>
    <row r="3043" spans="1:32" ht="11.85" customHeight="1" x14ac:dyDescent="0.2">
      <c r="A3043" s="3" t="s">
        <v>1333</v>
      </c>
      <c r="C3043" s="2">
        <v>116.56</v>
      </c>
      <c r="E3043" s="2">
        <v>747.19</v>
      </c>
      <c r="G3043" s="2">
        <v>710</v>
      </c>
      <c r="I3043" s="2">
        <v>0</v>
      </c>
      <c r="K3043" s="2">
        <v>0</v>
      </c>
      <c r="L3043" s="9"/>
      <c r="M3043" s="2">
        <v>100</v>
      </c>
      <c r="N3043" s="9"/>
      <c r="O3043" s="2">
        <v>0</v>
      </c>
      <c r="P3043" s="9"/>
      <c r="Q3043" s="2">
        <f t="shared" si="90"/>
        <v>100</v>
      </c>
    </row>
    <row r="3044" spans="1:32" ht="11.85" customHeight="1" x14ac:dyDescent="0.2">
      <c r="A3044" s="3" t="s">
        <v>1334</v>
      </c>
      <c r="C3044" s="2">
        <v>0</v>
      </c>
      <c r="E3044" s="2">
        <v>0</v>
      </c>
      <c r="G3044" s="2">
        <v>0</v>
      </c>
      <c r="I3044" s="2">
        <v>0</v>
      </c>
      <c r="K3044" s="2">
        <v>0</v>
      </c>
      <c r="L3044" s="9"/>
      <c r="M3044" s="2">
        <v>0</v>
      </c>
      <c r="N3044" s="9"/>
      <c r="O3044" s="2">
        <v>0</v>
      </c>
      <c r="P3044" s="9"/>
      <c r="Q3044" s="2">
        <f t="shared" si="90"/>
        <v>0</v>
      </c>
    </row>
    <row r="3045" spans="1:32" ht="11.85" customHeight="1" x14ac:dyDescent="0.2">
      <c r="A3045" s="3" t="s">
        <v>1335</v>
      </c>
      <c r="C3045" s="2">
        <v>23073.919999999998</v>
      </c>
      <c r="E3045" s="2">
        <v>34328.75</v>
      </c>
      <c r="G3045" s="2">
        <v>184592.83</v>
      </c>
      <c r="I3045" s="2">
        <v>95000</v>
      </c>
      <c r="K3045" s="2">
        <f>95000+80000</f>
        <v>175000</v>
      </c>
      <c r="L3045" s="9"/>
      <c r="M3045" s="2">
        <v>100000</v>
      </c>
      <c r="N3045" s="9"/>
      <c r="O3045" s="2">
        <v>0</v>
      </c>
      <c r="P3045" s="9"/>
      <c r="Q3045" s="2">
        <f t="shared" si="90"/>
        <v>100000</v>
      </c>
    </row>
    <row r="3046" spans="1:32" ht="11.85" customHeight="1" x14ac:dyDescent="0.2">
      <c r="A3046" s="3" t="s">
        <v>1336</v>
      </c>
      <c r="C3046" s="12">
        <v>0</v>
      </c>
      <c r="E3046" s="12">
        <v>0</v>
      </c>
      <c r="G3046" s="12">
        <v>0</v>
      </c>
      <c r="I3046" s="12">
        <v>0</v>
      </c>
      <c r="K3046" s="12">
        <v>10000</v>
      </c>
      <c r="L3046" s="9"/>
      <c r="M3046" s="12">
        <v>0</v>
      </c>
      <c r="N3046" s="9"/>
      <c r="O3046" s="12">
        <v>0</v>
      </c>
      <c r="P3046" s="9"/>
      <c r="Q3046" s="12">
        <f t="shared" si="90"/>
        <v>0</v>
      </c>
    </row>
    <row r="3047" spans="1:32" ht="11.85" customHeight="1" x14ac:dyDescent="0.2">
      <c r="A3047" s="3" t="s">
        <v>1337</v>
      </c>
      <c r="C3047" s="2">
        <f>SUM(C3038:C3046)</f>
        <v>173948.77000000002</v>
      </c>
      <c r="E3047" s="2">
        <f>SUM(E3038:E3046)</f>
        <v>159630.28</v>
      </c>
      <c r="G3047" s="2">
        <f>SUM(G3038:G3046)</f>
        <v>597512.84</v>
      </c>
      <c r="I3047" s="2">
        <f>SUM(I3038:I3046)</f>
        <v>95000</v>
      </c>
      <c r="K3047" s="2">
        <f>SUM(K3038:K3046)</f>
        <v>232025</v>
      </c>
      <c r="L3047" s="9"/>
      <c r="M3047" s="2">
        <f>SUM(M3038:M3046)</f>
        <v>100600</v>
      </c>
      <c r="N3047" s="9"/>
      <c r="O3047" s="2">
        <f>SUM(O3038:O3046)</f>
        <v>0</v>
      </c>
      <c r="P3047" s="9"/>
      <c r="Q3047" s="2">
        <f>SUM(Q3038:Q3046)</f>
        <v>100600</v>
      </c>
      <c r="U3047" s="9"/>
      <c r="AF3047" s="2"/>
    </row>
    <row r="3048" spans="1:32" ht="11.85" customHeight="1" x14ac:dyDescent="0.2">
      <c r="L3048" s="9"/>
      <c r="N3048" s="9"/>
      <c r="P3048" s="9"/>
    </row>
    <row r="3049" spans="1:32" ht="11.85" customHeight="1" x14ac:dyDescent="0.2">
      <c r="A3049" s="10" t="s">
        <v>1338</v>
      </c>
      <c r="L3049" s="9"/>
      <c r="N3049" s="9"/>
      <c r="P3049" s="9"/>
    </row>
    <row r="3050" spans="1:32" ht="11.85" hidden="1" customHeight="1" x14ac:dyDescent="0.2">
      <c r="A3050" s="3" t="s">
        <v>1339</v>
      </c>
      <c r="C3050" s="2">
        <v>0</v>
      </c>
      <c r="E3050" s="2">
        <v>0</v>
      </c>
      <c r="G3050" s="2">
        <v>0</v>
      </c>
      <c r="I3050" s="2">
        <v>0</v>
      </c>
      <c r="K3050" s="2">
        <v>0</v>
      </c>
      <c r="L3050" s="9"/>
      <c r="M3050" s="2">
        <v>0</v>
      </c>
      <c r="N3050" s="9"/>
      <c r="O3050" s="2">
        <v>0</v>
      </c>
      <c r="P3050" s="9"/>
      <c r="Q3050" s="2">
        <f t="shared" ref="Q3050:Q3055" si="91">M3050+O3050</f>
        <v>0</v>
      </c>
    </row>
    <row r="3051" spans="1:32" ht="11.85" hidden="1" customHeight="1" x14ac:dyDescent="0.2">
      <c r="A3051" s="3" t="s">
        <v>1340</v>
      </c>
      <c r="C3051" s="2">
        <v>0</v>
      </c>
      <c r="E3051" s="2">
        <v>0</v>
      </c>
      <c r="G3051" s="2">
        <v>0</v>
      </c>
      <c r="I3051" s="2">
        <v>0</v>
      </c>
      <c r="K3051" s="2">
        <v>0</v>
      </c>
      <c r="L3051" s="9"/>
      <c r="M3051" s="2">
        <v>0</v>
      </c>
      <c r="N3051" s="9"/>
      <c r="O3051" s="2">
        <v>0</v>
      </c>
      <c r="P3051" s="9"/>
      <c r="Q3051" s="2">
        <f t="shared" si="91"/>
        <v>0</v>
      </c>
    </row>
    <row r="3052" spans="1:32" ht="11.85" customHeight="1" x14ac:dyDescent="0.2">
      <c r="A3052" s="3" t="s">
        <v>1341</v>
      </c>
      <c r="C3052" s="12">
        <v>1.03</v>
      </c>
      <c r="E3052" s="12">
        <v>0</v>
      </c>
      <c r="G3052" s="12">
        <v>0</v>
      </c>
      <c r="I3052" s="12">
        <v>0</v>
      </c>
      <c r="K3052" s="12">
        <v>0</v>
      </c>
      <c r="L3052" s="9"/>
      <c r="M3052" s="12">
        <v>0</v>
      </c>
      <c r="N3052" s="9"/>
      <c r="O3052" s="12">
        <v>0</v>
      </c>
      <c r="P3052" s="9"/>
      <c r="Q3052" s="12">
        <f t="shared" si="91"/>
        <v>0</v>
      </c>
      <c r="R3052" s="15"/>
      <c r="S3052" s="44"/>
      <c r="T3052" s="45"/>
    </row>
    <row r="3053" spans="1:32" ht="11.85" hidden="1" customHeight="1" x14ac:dyDescent="0.2">
      <c r="A3053" s="3" t="s">
        <v>1342</v>
      </c>
      <c r="C3053" s="2">
        <v>0</v>
      </c>
      <c r="E3053" s="2">
        <v>0</v>
      </c>
      <c r="G3053" s="2">
        <v>0</v>
      </c>
      <c r="I3053" s="2">
        <v>0</v>
      </c>
      <c r="K3053" s="2">
        <v>0</v>
      </c>
      <c r="L3053" s="9"/>
      <c r="M3053" s="2">
        <v>0</v>
      </c>
      <c r="N3053" s="9"/>
      <c r="O3053" s="2">
        <v>0</v>
      </c>
      <c r="P3053" s="9"/>
      <c r="Q3053" s="2">
        <f t="shared" si="91"/>
        <v>0</v>
      </c>
    </row>
    <row r="3054" spans="1:32" ht="11.85" hidden="1" customHeight="1" x14ac:dyDescent="0.2">
      <c r="A3054" s="3" t="s">
        <v>1343</v>
      </c>
      <c r="C3054" s="2">
        <v>0</v>
      </c>
      <c r="E3054" s="2">
        <v>0</v>
      </c>
      <c r="G3054" s="2">
        <v>0</v>
      </c>
      <c r="I3054" s="2">
        <v>0</v>
      </c>
      <c r="K3054" s="2">
        <v>0</v>
      </c>
      <c r="L3054" s="9"/>
      <c r="M3054" s="2">
        <v>0</v>
      </c>
      <c r="N3054" s="9"/>
      <c r="O3054" s="2">
        <v>0</v>
      </c>
      <c r="P3054" s="9"/>
      <c r="Q3054" s="2">
        <f t="shared" si="91"/>
        <v>0</v>
      </c>
    </row>
    <row r="3055" spans="1:32" ht="11.85" hidden="1" customHeight="1" x14ac:dyDescent="0.2">
      <c r="A3055" s="3" t="s">
        <v>1344</v>
      </c>
      <c r="C3055" s="12">
        <v>0</v>
      </c>
      <c r="E3055" s="12">
        <v>0</v>
      </c>
      <c r="G3055" s="12">
        <v>0</v>
      </c>
      <c r="I3055" s="12">
        <v>0</v>
      </c>
      <c r="K3055" s="12">
        <v>0</v>
      </c>
      <c r="L3055" s="9"/>
      <c r="M3055" s="12">
        <v>0</v>
      </c>
      <c r="N3055" s="9"/>
      <c r="O3055" s="12">
        <v>0</v>
      </c>
      <c r="P3055" s="9"/>
      <c r="Q3055" s="12">
        <f t="shared" si="91"/>
        <v>0</v>
      </c>
      <c r="R3055" s="15"/>
      <c r="S3055" s="16"/>
      <c r="T3055" s="45"/>
    </row>
    <row r="3056" spans="1:32" ht="11.85" customHeight="1" x14ac:dyDescent="0.2">
      <c r="A3056" s="3" t="s">
        <v>1345</v>
      </c>
      <c r="C3056" s="2">
        <f>SUM(C3050:C3055)</f>
        <v>1.03</v>
      </c>
      <c r="E3056" s="2">
        <f>SUM(E3050:E3055)</f>
        <v>0</v>
      </c>
      <c r="G3056" s="2">
        <f>SUM(G3050:G3055)</f>
        <v>0</v>
      </c>
      <c r="I3056" s="2">
        <f>SUM(I3050:I3055)</f>
        <v>0</v>
      </c>
      <c r="K3056" s="2">
        <f>SUM(K3050:K3055)</f>
        <v>0</v>
      </c>
      <c r="L3056" s="9"/>
      <c r="M3056" s="2">
        <f>SUM(M3050:M3055)</f>
        <v>0</v>
      </c>
      <c r="N3056" s="9"/>
      <c r="O3056" s="2">
        <f>SUM(O3050:O3055)</f>
        <v>0</v>
      </c>
      <c r="P3056" s="9"/>
      <c r="Q3056" s="2">
        <f>SUM(Q3050:Q3055)</f>
        <v>0</v>
      </c>
    </row>
    <row r="3057" spans="1:17" ht="11.85" customHeight="1" x14ac:dyDescent="0.2">
      <c r="L3057" s="9"/>
      <c r="N3057" s="9"/>
      <c r="P3057" s="9"/>
    </row>
    <row r="3058" spans="1:17" ht="10.9" customHeight="1" x14ac:dyDescent="0.2">
      <c r="L3058" s="9"/>
      <c r="N3058" s="9"/>
      <c r="P3058" s="9"/>
    </row>
    <row r="3059" spans="1:17" ht="11.85" customHeight="1" x14ac:dyDescent="0.2">
      <c r="A3059" s="1"/>
      <c r="B3059" s="1"/>
      <c r="E3059" s="2" t="str">
        <f>$E$1</f>
        <v>CITY OF BRADY</v>
      </c>
    </row>
    <row r="3060" spans="1:17" ht="11.85" customHeight="1" x14ac:dyDescent="0.2">
      <c r="E3060" s="2" t="str">
        <f>$E$2</f>
        <v>BUDGET REPORT</v>
      </c>
    </row>
    <row r="3061" spans="1:17" ht="11.85" customHeight="1" x14ac:dyDescent="0.2">
      <c r="E3061" s="2" t="str">
        <f>$E$3</f>
        <v>FISCAL YEAR 2024 - 2025</v>
      </c>
    </row>
    <row r="3062" spans="1:17" ht="11.85" customHeight="1" x14ac:dyDescent="0.2">
      <c r="A3062" s="3" t="s">
        <v>1306</v>
      </c>
    </row>
    <row r="3063" spans="1:17" ht="11.85" customHeight="1" x14ac:dyDescent="0.2"/>
    <row r="3064" spans="1:17" ht="11.85" customHeight="1" x14ac:dyDescent="0.2">
      <c r="I3064" s="53" t="str">
        <f>$I$6</f>
        <v>(----- 2023-2024------)</v>
      </c>
      <c r="J3064" s="53"/>
      <c r="K3064" s="53"/>
      <c r="L3064" s="6"/>
      <c r="M3064" s="54" t="str">
        <f>$M$6</f>
        <v>2024-2025</v>
      </c>
      <c r="N3064" s="54"/>
      <c r="O3064" s="54"/>
      <c r="P3064" s="54"/>
      <c r="Q3064" s="54"/>
    </row>
    <row r="3065" spans="1:17" ht="11.85" customHeight="1" x14ac:dyDescent="0.2">
      <c r="C3065" s="5" t="str">
        <f>$C$7</f>
        <v>2020-2021</v>
      </c>
      <c r="D3065" s="5"/>
      <c r="E3065" s="5" t="str">
        <f>$E$7</f>
        <v>2021-2022</v>
      </c>
      <c r="F3065" s="5"/>
      <c r="G3065" s="5" t="str">
        <f>$G$7</f>
        <v>2022-2023</v>
      </c>
      <c r="H3065" s="5"/>
      <c r="I3065" s="5" t="s">
        <v>9</v>
      </c>
      <c r="J3065" s="5"/>
      <c r="K3065" s="5" t="str">
        <f>+$K$7</f>
        <v>PROJECTED</v>
      </c>
      <c r="L3065" s="6"/>
      <c r="M3065" s="5">
        <f>$M$7</f>
        <v>0</v>
      </c>
      <c r="N3065" s="6"/>
      <c r="O3065" s="5" t="str">
        <f>$O$7</f>
        <v>2024-2025</v>
      </c>
      <c r="P3065" s="6"/>
      <c r="Q3065" s="5" t="str">
        <f>$Q$7</f>
        <v>APPROVED</v>
      </c>
    </row>
    <row r="3066" spans="1:17" ht="11.85" customHeight="1" x14ac:dyDescent="0.2">
      <c r="A3066" s="7"/>
      <c r="C3066" s="8" t="s">
        <v>12</v>
      </c>
      <c r="D3066" s="5"/>
      <c r="E3066" s="8" t="s">
        <v>12</v>
      </c>
      <c r="F3066" s="5"/>
      <c r="G3066" s="8" t="s">
        <v>12</v>
      </c>
      <c r="H3066" s="5"/>
      <c r="I3066" s="8" t="s">
        <v>13</v>
      </c>
      <c r="J3066" s="5"/>
      <c r="K3066" s="8" t="s">
        <v>13</v>
      </c>
      <c r="L3066" s="6"/>
      <c r="M3066" s="8" t="str">
        <f>$M$8</f>
        <v>BASE</v>
      </c>
      <c r="N3066" s="6"/>
      <c r="O3066" s="8" t="str">
        <f>$O$8</f>
        <v>SUPPLEMENTAL</v>
      </c>
      <c r="P3066" s="6"/>
      <c r="Q3066" s="8" t="str">
        <f>$Q$8</f>
        <v>BUDGET</v>
      </c>
    </row>
    <row r="3067" spans="1:17" ht="11.85" customHeight="1" x14ac:dyDescent="0.2">
      <c r="C3067" s="5"/>
      <c r="D3067" s="5"/>
      <c r="E3067" s="5"/>
      <c r="F3067" s="5"/>
      <c r="G3067" s="5"/>
      <c r="H3067" s="5"/>
      <c r="I3067" s="5"/>
      <c r="J3067" s="5"/>
      <c r="K3067" s="5"/>
      <c r="L3067" s="6"/>
      <c r="M3067" s="5"/>
      <c r="N3067" s="6"/>
      <c r="O3067" s="5"/>
      <c r="P3067" s="6"/>
      <c r="Q3067" s="5"/>
    </row>
    <row r="3068" spans="1:17" ht="11.85" customHeight="1" x14ac:dyDescent="0.2">
      <c r="A3068" s="10" t="s">
        <v>244</v>
      </c>
      <c r="L3068" s="9"/>
      <c r="N3068" s="9"/>
      <c r="P3068" s="9"/>
    </row>
    <row r="3069" spans="1:17" ht="12.6" customHeight="1" x14ac:dyDescent="0.2">
      <c r="A3069" s="3" t="s">
        <v>1346</v>
      </c>
      <c r="C3069" s="2">
        <v>0</v>
      </c>
      <c r="E3069" s="2">
        <v>0</v>
      </c>
      <c r="G3069" s="2">
        <v>182819.55</v>
      </c>
      <c r="I3069" s="2">
        <v>0</v>
      </c>
      <c r="K3069" s="2">
        <v>0</v>
      </c>
      <c r="L3069" s="9"/>
      <c r="M3069" s="2">
        <v>0</v>
      </c>
      <c r="N3069" s="9"/>
      <c r="O3069" s="2">
        <v>0</v>
      </c>
      <c r="P3069" s="9"/>
      <c r="Q3069" s="2">
        <f>M3069+O3069</f>
        <v>0</v>
      </c>
    </row>
    <row r="3070" spans="1:17" ht="12.6" hidden="1" customHeight="1" x14ac:dyDescent="0.2">
      <c r="A3070" s="3" t="s">
        <v>1347</v>
      </c>
      <c r="C3070" s="2">
        <v>0</v>
      </c>
      <c r="E3070" s="2">
        <v>0</v>
      </c>
      <c r="G3070" s="2">
        <v>0</v>
      </c>
      <c r="I3070" s="2">
        <v>0</v>
      </c>
      <c r="K3070" s="2">
        <v>0</v>
      </c>
      <c r="L3070" s="9"/>
      <c r="M3070" s="2">
        <v>0</v>
      </c>
      <c r="N3070" s="9"/>
      <c r="O3070" s="2">
        <v>0</v>
      </c>
      <c r="P3070" s="9"/>
      <c r="Q3070" s="2">
        <f>M3070+O3070</f>
        <v>0</v>
      </c>
    </row>
    <row r="3071" spans="1:17" ht="12.6" hidden="1" customHeight="1" x14ac:dyDescent="0.2">
      <c r="A3071" s="3" t="s">
        <v>1348</v>
      </c>
      <c r="C3071" s="2">
        <v>0</v>
      </c>
      <c r="E3071" s="2">
        <v>0</v>
      </c>
      <c r="G3071" s="2">
        <v>0</v>
      </c>
      <c r="I3071" s="2">
        <v>0</v>
      </c>
      <c r="K3071" s="2">
        <v>0</v>
      </c>
      <c r="L3071" s="9"/>
      <c r="M3071" s="2">
        <v>0</v>
      </c>
      <c r="N3071" s="9"/>
      <c r="O3071" s="2">
        <v>0</v>
      </c>
      <c r="P3071" s="9"/>
      <c r="Q3071" s="2">
        <f>M3071+O3071</f>
        <v>0</v>
      </c>
    </row>
    <row r="3072" spans="1:17" ht="7.9" customHeight="1" x14ac:dyDescent="0.2">
      <c r="A3072" s="10"/>
      <c r="L3072" s="9"/>
      <c r="N3072" s="9"/>
      <c r="P3072" s="9"/>
    </row>
    <row r="3073" spans="1:21" ht="10.5" customHeight="1" x14ac:dyDescent="0.2">
      <c r="A3073" s="3" t="s">
        <v>1349</v>
      </c>
      <c r="C3073" s="2">
        <v>0</v>
      </c>
      <c r="E3073" s="2">
        <v>76755</v>
      </c>
      <c r="G3073" s="2">
        <v>0</v>
      </c>
      <c r="I3073" s="2">
        <v>0</v>
      </c>
      <c r="K3073" s="2">
        <v>0</v>
      </c>
      <c r="L3073" s="9"/>
      <c r="M3073" s="2">
        <v>100000</v>
      </c>
      <c r="N3073" s="9"/>
      <c r="O3073" s="2">
        <v>0</v>
      </c>
      <c r="P3073" s="9"/>
      <c r="Q3073" s="2">
        <f>M3073+O3073</f>
        <v>100000</v>
      </c>
    </row>
    <row r="3074" spans="1:21" ht="11.85" customHeight="1" x14ac:dyDescent="0.2">
      <c r="A3074" s="3" t="s">
        <v>1350</v>
      </c>
      <c r="C3074" s="12">
        <v>0</v>
      </c>
      <c r="E3074" s="12">
        <v>0</v>
      </c>
      <c r="G3074" s="12">
        <v>76516.5</v>
      </c>
      <c r="I3074" s="12">
        <v>0</v>
      </c>
      <c r="K3074" s="12">
        <v>0</v>
      </c>
      <c r="L3074" s="9"/>
      <c r="M3074" s="12">
        <v>48000</v>
      </c>
      <c r="N3074" s="9"/>
      <c r="O3074" s="12">
        <v>0</v>
      </c>
      <c r="P3074" s="9"/>
      <c r="Q3074" s="12">
        <f>M3074+O3074</f>
        <v>48000</v>
      </c>
      <c r="U3074" s="2"/>
    </row>
    <row r="3075" spans="1:21" ht="11.85" hidden="1" customHeight="1" x14ac:dyDescent="0.2">
      <c r="A3075" s="3" t="s">
        <v>1351</v>
      </c>
      <c r="C3075" s="2">
        <v>0</v>
      </c>
      <c r="E3075" s="2">
        <v>0</v>
      </c>
      <c r="G3075" s="2">
        <v>0</v>
      </c>
      <c r="I3075" s="2">
        <v>0</v>
      </c>
      <c r="K3075" s="2">
        <v>0</v>
      </c>
      <c r="L3075" s="9"/>
      <c r="M3075" s="2">
        <v>0</v>
      </c>
      <c r="N3075" s="9"/>
      <c r="O3075" s="2">
        <v>0</v>
      </c>
      <c r="P3075" s="9"/>
      <c r="Q3075" s="2">
        <f>M3075+O3075</f>
        <v>0</v>
      </c>
      <c r="R3075" s="15"/>
      <c r="S3075" s="16"/>
      <c r="T3075" s="45"/>
    </row>
    <row r="3076" spans="1:21" ht="11.85" hidden="1" customHeight="1" x14ac:dyDescent="0.2">
      <c r="A3076" s="3" t="s">
        <v>1351</v>
      </c>
      <c r="C3076" s="12">
        <v>0</v>
      </c>
      <c r="E3076" s="12">
        <v>0</v>
      </c>
      <c r="G3076" s="12">
        <v>0</v>
      </c>
      <c r="I3076" s="12">
        <v>0</v>
      </c>
      <c r="K3076" s="12">
        <v>0</v>
      </c>
      <c r="L3076" s="9"/>
      <c r="M3076" s="12">
        <v>0</v>
      </c>
      <c r="N3076" s="9"/>
      <c r="O3076" s="12">
        <v>0</v>
      </c>
      <c r="P3076" s="9"/>
      <c r="Q3076" s="12">
        <v>0</v>
      </c>
      <c r="R3076" s="15"/>
      <c r="S3076" s="16"/>
      <c r="T3076" s="45"/>
    </row>
    <row r="3077" spans="1:21" ht="11.85" customHeight="1" x14ac:dyDescent="0.2">
      <c r="A3077" s="3" t="s">
        <v>258</v>
      </c>
      <c r="C3077" s="2">
        <f>SUM(C3069:C3076)</f>
        <v>0</v>
      </c>
      <c r="E3077" s="2">
        <f>SUM(E3069:E3076)</f>
        <v>76755</v>
      </c>
      <c r="G3077" s="2">
        <f>SUM(G3069:G3076)</f>
        <v>259336.05</v>
      </c>
      <c r="I3077" s="2">
        <f>SUM(I3069:I3076)</f>
        <v>0</v>
      </c>
      <c r="K3077" s="2">
        <f>SUM(K3069:K3076)</f>
        <v>0</v>
      </c>
      <c r="L3077" s="2"/>
      <c r="M3077" s="9">
        <f>SUM(M3069:M3076)</f>
        <v>148000</v>
      </c>
      <c r="N3077" s="2"/>
      <c r="O3077" s="9">
        <f>SUM(O3069:O3076)</f>
        <v>0</v>
      </c>
      <c r="P3077" s="2"/>
      <c r="Q3077" s="9">
        <f>SUM(Q3069:Q3076)</f>
        <v>148000</v>
      </c>
    </row>
    <row r="3078" spans="1:21" ht="11.85" customHeight="1" x14ac:dyDescent="0.2">
      <c r="C3078" s="5"/>
      <c r="D3078" s="5"/>
      <c r="E3078" s="5"/>
      <c r="F3078" s="5"/>
      <c r="G3078" s="5"/>
      <c r="H3078" s="5"/>
      <c r="I3078" s="5"/>
      <c r="J3078" s="5"/>
      <c r="K3078" s="5"/>
      <c r="L3078" s="6"/>
      <c r="M3078" s="5"/>
      <c r="N3078" s="6"/>
      <c r="O3078" s="5"/>
      <c r="P3078" s="6"/>
      <c r="Q3078" s="5"/>
    </row>
    <row r="3079" spans="1:21" ht="11.85" customHeight="1" thickBot="1" x14ac:dyDescent="0.25">
      <c r="A3079" s="3" t="s">
        <v>270</v>
      </c>
      <c r="C3079" s="25">
        <f>+C3026+C3056+C3013+C3035+C3021+C3047+C3077</f>
        <v>4135691.6</v>
      </c>
      <c r="E3079" s="25">
        <f>+E3026+E3056+E3013+E3035+E3021+E3047+E3077</f>
        <v>4548340.3200000012</v>
      </c>
      <c r="G3079" s="25">
        <f>+G3026+G3056+G3013+G3035+G3021+G3047+G3077</f>
        <v>5134257.34</v>
      </c>
      <c r="I3079" s="25">
        <f>+I3026+I3056+I3013+I3035+I3021+I3047+I3077</f>
        <v>4171000</v>
      </c>
      <c r="K3079" s="25">
        <f>+K3026+K3056+K3013+K3035+K3021+K3047+K3077</f>
        <v>4383025</v>
      </c>
      <c r="L3079" s="9"/>
      <c r="M3079" s="36">
        <f>+M3026+M3056+M3013+M3035+M3021+M3047+M3077</f>
        <v>4159100</v>
      </c>
      <c r="N3079" s="9"/>
      <c r="O3079" s="36">
        <f>+O3026+O3056+O3013+O3035+O3021+O3047+O3077</f>
        <v>0</v>
      </c>
      <c r="P3079" s="9"/>
      <c r="Q3079" s="36">
        <f>+Q3026+Q3056+Q3013+Q3035+Q3021+Q3047+Q3077</f>
        <v>4159100</v>
      </c>
      <c r="U3079" s="9"/>
    </row>
    <row r="3080" spans="1:21" ht="11.85" customHeight="1" thickTop="1" x14ac:dyDescent="0.2">
      <c r="L3080" s="9"/>
      <c r="N3080" s="9"/>
      <c r="P3080" s="9"/>
    </row>
    <row r="3081" spans="1:21" ht="11.85" customHeight="1" x14ac:dyDescent="0.2">
      <c r="L3081" s="9"/>
      <c r="N3081" s="9"/>
      <c r="P3081" s="9"/>
    </row>
    <row r="3082" spans="1:21" ht="11.85" customHeight="1" x14ac:dyDescent="0.2">
      <c r="A3082" s="3" t="s">
        <v>271</v>
      </c>
      <c r="C3082" s="2">
        <f>C3004+C3079</f>
        <v>9698304.7200000007</v>
      </c>
      <c r="E3082" s="2">
        <f>E3004+E3079</f>
        <v>10466523.990000002</v>
      </c>
      <c r="G3082" s="2">
        <f>G3004+G3079</f>
        <v>11492153.920000002</v>
      </c>
      <c r="I3082" s="2">
        <f>I3004+I3079</f>
        <v>10684293.130000003</v>
      </c>
      <c r="K3082" s="2">
        <f>K3004+K3079</f>
        <v>10896318.130000003</v>
      </c>
      <c r="L3082" s="9"/>
      <c r="M3082" s="2">
        <f>M3004+M3079</f>
        <v>9237299.1300000027</v>
      </c>
      <c r="N3082" s="9"/>
      <c r="P3082" s="9"/>
      <c r="Q3082" s="2">
        <f>Q3004+Q3079</f>
        <v>9237299.1300000027</v>
      </c>
      <c r="U3082" s="9"/>
    </row>
    <row r="3083" spans="1:21" ht="11.85" customHeight="1" x14ac:dyDescent="0.2"/>
    <row r="3084" spans="1:21" ht="11.85" customHeight="1" x14ac:dyDescent="0.2"/>
    <row r="3085" spans="1:21" ht="11.85" customHeight="1" x14ac:dyDescent="0.2"/>
    <row r="3086" spans="1:21" ht="11.85" customHeight="1" x14ac:dyDescent="0.2"/>
    <row r="3087" spans="1:21" ht="11.85" customHeight="1" x14ac:dyDescent="0.2"/>
    <row r="3088" spans="1:21" ht="11.85" customHeight="1" x14ac:dyDescent="0.2"/>
    <row r="3089" ht="11.85" customHeight="1" x14ac:dyDescent="0.2"/>
    <row r="3090" ht="11.85" customHeight="1" x14ac:dyDescent="0.2"/>
    <row r="3091" ht="11.85" customHeight="1" x14ac:dyDescent="0.2"/>
    <row r="3092" ht="11.85" customHeight="1" x14ac:dyDescent="0.2"/>
    <row r="3093" ht="11.85" customHeight="1" x14ac:dyDescent="0.2"/>
    <row r="3094" ht="11.85" customHeight="1" x14ac:dyDescent="0.2"/>
    <row r="3095" ht="11.85" customHeight="1" x14ac:dyDescent="0.2"/>
    <row r="3096" ht="11.85" customHeight="1" x14ac:dyDescent="0.2"/>
    <row r="3097" ht="11.85" customHeight="1" x14ac:dyDescent="0.2"/>
    <row r="3098" ht="11.85" customHeight="1" x14ac:dyDescent="0.2"/>
    <row r="3099" ht="11.85" customHeight="1" x14ac:dyDescent="0.2"/>
    <row r="3100" ht="11.85" customHeight="1" x14ac:dyDescent="0.2"/>
    <row r="3101" ht="11.85" customHeight="1" x14ac:dyDescent="0.2"/>
    <row r="3102" ht="11.85" customHeight="1" x14ac:dyDescent="0.2"/>
    <row r="3103" ht="11.85" customHeight="1" x14ac:dyDescent="0.2"/>
    <row r="3104" ht="11.85" customHeight="1" x14ac:dyDescent="0.2"/>
    <row r="3105" ht="11.85" customHeight="1" x14ac:dyDescent="0.2"/>
    <row r="3106" ht="11.85" customHeight="1" x14ac:dyDescent="0.2"/>
    <row r="3107" ht="11.85" customHeight="1" x14ac:dyDescent="0.2"/>
    <row r="3108" ht="11.85" customHeight="1" x14ac:dyDescent="0.2"/>
    <row r="3109" ht="11.85" customHeight="1" x14ac:dyDescent="0.2"/>
    <row r="3110" ht="11.85" customHeight="1" x14ac:dyDescent="0.2"/>
    <row r="3111" ht="11.85" customHeight="1" x14ac:dyDescent="0.2"/>
    <row r="3112" ht="11.85" customHeight="1" x14ac:dyDescent="0.2"/>
    <row r="3113" ht="11.85" customHeight="1" x14ac:dyDescent="0.2"/>
    <row r="3114" ht="11.85" customHeight="1" x14ac:dyDescent="0.2"/>
    <row r="3115" ht="11.85" customHeight="1" x14ac:dyDescent="0.2"/>
    <row r="3116" ht="11.85" customHeight="1" x14ac:dyDescent="0.2"/>
    <row r="3117" ht="11.85" customHeight="1" x14ac:dyDescent="0.2"/>
    <row r="3118" ht="11.85" customHeight="1" x14ac:dyDescent="0.2"/>
    <row r="3119" ht="11.85" customHeight="1" x14ac:dyDescent="0.2"/>
    <row r="3120" ht="11.85" customHeight="1" x14ac:dyDescent="0.2"/>
    <row r="3121" spans="1:20" ht="11.85" customHeight="1" x14ac:dyDescent="0.2"/>
    <row r="3122" spans="1:20" ht="11.85" customHeight="1" x14ac:dyDescent="0.2"/>
    <row r="3123" spans="1:20" ht="11.85" customHeight="1" x14ac:dyDescent="0.2"/>
    <row r="3124" spans="1:20" ht="11.85" customHeight="1" x14ac:dyDescent="0.2"/>
    <row r="3125" spans="1:20" ht="11.85" customHeight="1" x14ac:dyDescent="0.2">
      <c r="A3125" s="1"/>
      <c r="B3125" s="1"/>
      <c r="E3125" s="2" t="str">
        <f>$E$1</f>
        <v>CITY OF BRADY</v>
      </c>
    </row>
    <row r="3126" spans="1:20" ht="11.85" customHeight="1" x14ac:dyDescent="0.2">
      <c r="E3126" s="2" t="str">
        <f>$E$2</f>
        <v>BUDGET REPORT</v>
      </c>
    </row>
    <row r="3127" spans="1:20" ht="11.85" customHeight="1" x14ac:dyDescent="0.2">
      <c r="E3127" s="2" t="str">
        <f>$E$3</f>
        <v>FISCAL YEAR 2024 - 2025</v>
      </c>
    </row>
    <row r="3128" spans="1:20" ht="11.85" customHeight="1" x14ac:dyDescent="0.2">
      <c r="A3128" s="3" t="s">
        <v>1306</v>
      </c>
      <c r="S3128" s="18"/>
    </row>
    <row r="3129" spans="1:20" ht="11.85" customHeight="1" x14ac:dyDescent="0.2">
      <c r="A3129" s="3" t="s">
        <v>1352</v>
      </c>
    </row>
    <row r="3130" spans="1:20" ht="11.85" customHeight="1" x14ac:dyDescent="0.2">
      <c r="I3130" s="53" t="str">
        <f>$I$6</f>
        <v>(----- 2023-2024------)</v>
      </c>
      <c r="J3130" s="53"/>
      <c r="K3130" s="53"/>
      <c r="L3130" s="6"/>
      <c r="M3130" s="54" t="str">
        <f>$M$6</f>
        <v>2024-2025</v>
      </c>
      <c r="N3130" s="54"/>
      <c r="O3130" s="54"/>
      <c r="P3130" s="54"/>
      <c r="Q3130" s="54"/>
    </row>
    <row r="3131" spans="1:20" ht="11.85" customHeight="1" x14ac:dyDescent="0.2">
      <c r="C3131" s="5" t="str">
        <f>$C$7</f>
        <v>2020-2021</v>
      </c>
      <c r="D3131" s="5"/>
      <c r="E3131" s="5" t="str">
        <f>$E$7</f>
        <v>2021-2022</v>
      </c>
      <c r="F3131" s="5"/>
      <c r="G3131" s="5" t="str">
        <f>$G$7</f>
        <v>2022-2023</v>
      </c>
      <c r="H3131" s="5"/>
      <c r="I3131" s="5" t="s">
        <v>9</v>
      </c>
      <c r="J3131" s="5"/>
      <c r="K3131" s="5" t="str">
        <f>+$K$7</f>
        <v>PROJECTED</v>
      </c>
      <c r="L3131" s="6"/>
      <c r="M3131" s="5">
        <f>$M$7</f>
        <v>0</v>
      </c>
      <c r="N3131" s="6"/>
      <c r="O3131" s="5" t="str">
        <f>$O$7</f>
        <v>2024-2025</v>
      </c>
      <c r="P3131" s="6"/>
      <c r="Q3131" s="5" t="str">
        <f>$Q$7</f>
        <v>APPROVED</v>
      </c>
    </row>
    <row r="3132" spans="1:20" ht="11.85" customHeight="1" x14ac:dyDescent="0.2">
      <c r="A3132" s="7" t="s">
        <v>273</v>
      </c>
      <c r="C3132" s="8" t="s">
        <v>12</v>
      </c>
      <c r="D3132" s="5"/>
      <c r="E3132" s="8" t="s">
        <v>12</v>
      </c>
      <c r="F3132" s="5"/>
      <c r="G3132" s="8" t="s">
        <v>12</v>
      </c>
      <c r="H3132" s="5"/>
      <c r="I3132" s="8" t="s">
        <v>13</v>
      </c>
      <c r="J3132" s="5"/>
      <c r="K3132" s="8" t="s">
        <v>13</v>
      </c>
      <c r="L3132" s="6"/>
      <c r="M3132" s="8" t="str">
        <f>$M$8</f>
        <v>BASE</v>
      </c>
      <c r="N3132" s="6"/>
      <c r="O3132" s="8" t="str">
        <f>$O$8</f>
        <v>SUPPLEMENTAL</v>
      </c>
      <c r="P3132" s="6"/>
      <c r="Q3132" s="8" t="str">
        <f>$Q$8</f>
        <v>BUDGET</v>
      </c>
    </row>
    <row r="3133" spans="1:20" ht="11.85" customHeight="1" x14ac:dyDescent="0.2"/>
    <row r="3134" spans="1:20" ht="11.85" customHeight="1" x14ac:dyDescent="0.2">
      <c r="A3134" s="10" t="s">
        <v>274</v>
      </c>
    </row>
    <row r="3135" spans="1:20" ht="11.85" customHeight="1" x14ac:dyDescent="0.2">
      <c r="A3135" s="3" t="s">
        <v>1353</v>
      </c>
      <c r="C3135" s="2">
        <v>127466.75</v>
      </c>
      <c r="E3135" s="2">
        <v>126627.06</v>
      </c>
      <c r="G3135" s="2">
        <v>155587.92000000001</v>
      </c>
      <c r="I3135" s="2">
        <v>178716</v>
      </c>
      <c r="K3135" s="2">
        <v>178716</v>
      </c>
      <c r="L3135" s="9"/>
      <c r="M3135" s="2">
        <v>184863</v>
      </c>
      <c r="N3135" s="9"/>
      <c r="O3135" s="2">
        <v>0</v>
      </c>
      <c r="P3135" s="9"/>
      <c r="Q3135" s="2">
        <f t="shared" ref="Q3135:Q3144" si="92">M3135+O3135</f>
        <v>184863</v>
      </c>
      <c r="T3135" s="11"/>
    </row>
    <row r="3136" spans="1:20" ht="11.85" customHeight="1" x14ac:dyDescent="0.2">
      <c r="A3136" s="3" t="s">
        <v>1354</v>
      </c>
      <c r="C3136" s="2">
        <v>4929.3599999999997</v>
      </c>
      <c r="E3136" s="2">
        <v>5712.02</v>
      </c>
      <c r="G3136" s="2">
        <v>7434.9</v>
      </c>
      <c r="I3136" s="2">
        <v>6900</v>
      </c>
      <c r="K3136" s="2">
        <f>6900+2000</f>
        <v>8900</v>
      </c>
      <c r="L3136" s="9"/>
      <c r="M3136" s="2">
        <v>6900</v>
      </c>
      <c r="N3136" s="9"/>
      <c r="O3136" s="2">
        <v>0</v>
      </c>
      <c r="P3136" s="9"/>
      <c r="Q3136" s="2">
        <f t="shared" si="92"/>
        <v>6900</v>
      </c>
      <c r="T3136" s="11"/>
    </row>
    <row r="3137" spans="1:21" ht="11.85" customHeight="1" x14ac:dyDescent="0.2">
      <c r="A3137" s="3" t="s">
        <v>1355</v>
      </c>
      <c r="C3137" s="2">
        <v>2275</v>
      </c>
      <c r="E3137" s="2">
        <v>2400</v>
      </c>
      <c r="G3137" s="2">
        <v>2400</v>
      </c>
      <c r="I3137" s="2">
        <v>2400</v>
      </c>
      <c r="K3137" s="2">
        <v>2400</v>
      </c>
      <c r="L3137" s="9"/>
      <c r="M3137" s="2">
        <v>2400</v>
      </c>
      <c r="N3137" s="9"/>
      <c r="O3137" s="2">
        <v>0</v>
      </c>
      <c r="P3137" s="9"/>
      <c r="Q3137" s="2">
        <f t="shared" si="92"/>
        <v>2400</v>
      </c>
      <c r="T3137" s="11"/>
    </row>
    <row r="3138" spans="1:21" ht="11.85" customHeight="1" x14ac:dyDescent="0.2">
      <c r="A3138" s="3" t="s">
        <v>1356</v>
      </c>
      <c r="C3138" s="2">
        <v>3780</v>
      </c>
      <c r="E3138" s="2">
        <v>3640</v>
      </c>
      <c r="G3138" s="2">
        <v>10840</v>
      </c>
      <c r="I3138" s="2">
        <v>10920</v>
      </c>
      <c r="K3138" s="2">
        <v>10920</v>
      </c>
      <c r="L3138" s="9"/>
      <c r="M3138" s="2">
        <v>10920</v>
      </c>
      <c r="N3138" s="9"/>
      <c r="O3138" s="2">
        <v>0</v>
      </c>
      <c r="P3138" s="9"/>
      <c r="Q3138" s="2">
        <f t="shared" si="92"/>
        <v>10920</v>
      </c>
      <c r="T3138" s="11"/>
    </row>
    <row r="3139" spans="1:21" ht="11.85" customHeight="1" x14ac:dyDescent="0.2">
      <c r="A3139" s="3" t="s">
        <v>1357</v>
      </c>
      <c r="C3139" s="2">
        <v>0</v>
      </c>
      <c r="E3139" s="2">
        <v>0</v>
      </c>
      <c r="G3139" s="2">
        <v>600</v>
      </c>
      <c r="I3139" s="2">
        <v>600</v>
      </c>
      <c r="K3139" s="2">
        <v>600</v>
      </c>
      <c r="L3139" s="9"/>
      <c r="M3139" s="2">
        <v>600</v>
      </c>
      <c r="N3139" s="9"/>
      <c r="O3139" s="2">
        <v>0</v>
      </c>
      <c r="P3139" s="9"/>
      <c r="Q3139" s="2">
        <f t="shared" si="92"/>
        <v>600</v>
      </c>
      <c r="T3139" s="11"/>
    </row>
    <row r="3140" spans="1:21" ht="11.85" customHeight="1" x14ac:dyDescent="0.2">
      <c r="A3140" s="3" t="s">
        <v>1358</v>
      </c>
      <c r="C3140" s="2">
        <v>23395.68</v>
      </c>
      <c r="E3140" s="2">
        <v>21547.73</v>
      </c>
      <c r="G3140" s="2">
        <v>24611.599999999999</v>
      </c>
      <c r="I3140" s="2">
        <v>34380</v>
      </c>
      <c r="K3140" s="2">
        <v>34380</v>
      </c>
      <c r="L3140" s="9"/>
      <c r="M3140" s="2">
        <v>30424</v>
      </c>
      <c r="N3140" s="9"/>
      <c r="O3140" s="2">
        <v>0</v>
      </c>
      <c r="P3140" s="9"/>
      <c r="Q3140" s="2">
        <f t="shared" si="92"/>
        <v>30424</v>
      </c>
      <c r="T3140" s="11"/>
    </row>
    <row r="3141" spans="1:21" ht="11.85" customHeight="1" x14ac:dyDescent="0.2">
      <c r="A3141" s="3" t="s">
        <v>1359</v>
      </c>
      <c r="C3141" s="2">
        <v>12546.54</v>
      </c>
      <c r="E3141" s="2">
        <v>12638.64</v>
      </c>
      <c r="G3141" s="2">
        <v>15909.05</v>
      </c>
      <c r="I3141" s="2">
        <v>17295</v>
      </c>
      <c r="K3141" s="2">
        <v>17295</v>
      </c>
      <c r="L3141" s="9"/>
      <c r="M3141" s="2">
        <v>17466</v>
      </c>
      <c r="N3141" s="9"/>
      <c r="O3141" s="2">
        <v>0</v>
      </c>
      <c r="P3141" s="9"/>
      <c r="Q3141" s="2">
        <f t="shared" si="92"/>
        <v>17466</v>
      </c>
      <c r="T3141" s="11"/>
    </row>
    <row r="3142" spans="1:21" ht="11.85" customHeight="1" x14ac:dyDescent="0.2">
      <c r="A3142" s="3" t="s">
        <v>1360</v>
      </c>
      <c r="C3142" s="2">
        <v>2637.36</v>
      </c>
      <c r="E3142" s="2">
        <v>2712.68</v>
      </c>
      <c r="G3142" s="2">
        <v>3602.52</v>
      </c>
      <c r="I3142" s="2">
        <v>3658</v>
      </c>
      <c r="K3142" s="2">
        <v>3658</v>
      </c>
      <c r="L3142" s="9"/>
      <c r="M3142" s="2">
        <v>4107</v>
      </c>
      <c r="N3142" s="9"/>
      <c r="O3142" s="2">
        <v>0</v>
      </c>
      <c r="P3142" s="9"/>
      <c r="Q3142" s="2">
        <f t="shared" si="92"/>
        <v>4107</v>
      </c>
      <c r="T3142" s="11"/>
    </row>
    <row r="3143" spans="1:21" ht="11.85" customHeight="1" x14ac:dyDescent="0.2">
      <c r="A3143" s="3" t="s">
        <v>1361</v>
      </c>
      <c r="C3143" s="2">
        <v>767.56</v>
      </c>
      <c r="E3143" s="2">
        <v>27.14</v>
      </c>
      <c r="G3143" s="2">
        <v>36</v>
      </c>
      <c r="I3143" s="2">
        <v>335</v>
      </c>
      <c r="K3143" s="2">
        <v>335</v>
      </c>
      <c r="L3143" s="9"/>
      <c r="M3143" s="2">
        <v>360</v>
      </c>
      <c r="N3143" s="9"/>
      <c r="O3143" s="2">
        <v>0</v>
      </c>
      <c r="P3143" s="9"/>
      <c r="Q3143" s="2">
        <f t="shared" si="92"/>
        <v>360</v>
      </c>
      <c r="T3143" s="11"/>
    </row>
    <row r="3144" spans="1:21" ht="11.85" customHeight="1" x14ac:dyDescent="0.2">
      <c r="A3144" s="3" t="s">
        <v>1362</v>
      </c>
      <c r="C3144" s="12">
        <v>10274.52</v>
      </c>
      <c r="E3144" s="12">
        <v>10926.05</v>
      </c>
      <c r="G3144" s="12">
        <v>13539.57</v>
      </c>
      <c r="I3144" s="12">
        <v>14478</v>
      </c>
      <c r="K3144" s="12">
        <v>14478</v>
      </c>
      <c r="L3144" s="9"/>
      <c r="M3144" s="12">
        <v>14958</v>
      </c>
      <c r="N3144" s="9"/>
      <c r="O3144" s="12">
        <v>0</v>
      </c>
      <c r="P3144" s="9"/>
      <c r="Q3144" s="12">
        <f t="shared" si="92"/>
        <v>14958</v>
      </c>
      <c r="T3144" s="11"/>
    </row>
    <row r="3145" spans="1:21" ht="11.85" customHeight="1" x14ac:dyDescent="0.2">
      <c r="A3145" s="3" t="s">
        <v>285</v>
      </c>
      <c r="C3145" s="2">
        <f>SUM(C3135:C3144)</f>
        <v>188072.76999999996</v>
      </c>
      <c r="E3145" s="2">
        <f>SUM(E3135:E3144)</f>
        <v>186231.32</v>
      </c>
      <c r="G3145" s="2">
        <f>SUM(G3135:G3144)</f>
        <v>234561.56</v>
      </c>
      <c r="I3145" s="2">
        <f>SUM(I3135:I3144)</f>
        <v>269682</v>
      </c>
      <c r="K3145" s="2">
        <f>SUM(K3135:K3144)</f>
        <v>271682</v>
      </c>
      <c r="L3145" s="9"/>
      <c r="M3145" s="2">
        <f>SUM(M3135:M3144)</f>
        <v>272998</v>
      </c>
      <c r="N3145" s="9"/>
      <c r="O3145" s="2">
        <f>SUM(O3135:O3144)</f>
        <v>0</v>
      </c>
      <c r="P3145" s="9"/>
      <c r="Q3145" s="2">
        <f>SUM(Q3135:Q3144)</f>
        <v>272998</v>
      </c>
      <c r="R3145" s="9"/>
      <c r="U3145" s="9"/>
    </row>
    <row r="3146" spans="1:21" ht="11.85" customHeight="1" x14ac:dyDescent="0.2">
      <c r="L3146" s="9"/>
      <c r="N3146" s="9"/>
      <c r="P3146" s="9"/>
    </row>
    <row r="3147" spans="1:21" ht="11.85" customHeight="1" x14ac:dyDescent="0.2">
      <c r="A3147" s="10" t="s">
        <v>286</v>
      </c>
      <c r="L3147" s="9"/>
      <c r="N3147" s="9"/>
      <c r="P3147" s="9"/>
    </row>
    <row r="3148" spans="1:21" ht="11.85" customHeight="1" x14ac:dyDescent="0.2">
      <c r="A3148" s="3" t="s">
        <v>1363</v>
      </c>
      <c r="C3148" s="2">
        <v>0</v>
      </c>
      <c r="E3148" s="2">
        <v>0</v>
      </c>
      <c r="G3148" s="2">
        <v>0</v>
      </c>
      <c r="I3148" s="2">
        <v>150</v>
      </c>
      <c r="K3148" s="2">
        <v>150</v>
      </c>
      <c r="L3148" s="9"/>
      <c r="M3148" s="2">
        <v>150</v>
      </c>
      <c r="N3148" s="9"/>
      <c r="O3148" s="2">
        <v>0</v>
      </c>
      <c r="P3148" s="9"/>
      <c r="Q3148" s="2">
        <f t="shared" ref="Q3148:Q3162" si="93">M3148+O3148</f>
        <v>150</v>
      </c>
      <c r="T3148" s="11"/>
    </row>
    <row r="3149" spans="1:21" ht="11.85" customHeight="1" x14ac:dyDescent="0.2">
      <c r="A3149" s="3" t="s">
        <v>1364</v>
      </c>
      <c r="C3149" s="2">
        <v>80052.149999999994</v>
      </c>
      <c r="E3149" s="2">
        <v>79130.559999999998</v>
      </c>
      <c r="G3149" s="2">
        <v>81213.67</v>
      </c>
      <c r="I3149" s="2">
        <v>80000</v>
      </c>
      <c r="K3149" s="2">
        <v>80000</v>
      </c>
      <c r="L3149" s="9"/>
      <c r="M3149" s="2">
        <v>80000</v>
      </c>
      <c r="N3149" s="9"/>
      <c r="O3149" s="2">
        <v>0</v>
      </c>
      <c r="P3149" s="9"/>
      <c r="Q3149" s="2">
        <f t="shared" si="93"/>
        <v>80000</v>
      </c>
      <c r="T3149" s="11"/>
    </row>
    <row r="3150" spans="1:21" ht="11.85" customHeight="1" x14ac:dyDescent="0.2">
      <c r="A3150" s="3" t="s">
        <v>1365</v>
      </c>
      <c r="C3150" s="2">
        <v>3401.63</v>
      </c>
      <c r="E3150" s="2">
        <v>1499.99</v>
      </c>
      <c r="G3150" s="2">
        <v>1400</v>
      </c>
      <c r="I3150" s="2">
        <v>2500</v>
      </c>
      <c r="K3150" s="2">
        <f>2500+18000</f>
        <v>20500</v>
      </c>
      <c r="L3150" s="9"/>
      <c r="M3150" s="2">
        <v>2500</v>
      </c>
      <c r="N3150" s="9"/>
      <c r="O3150" s="2">
        <v>0</v>
      </c>
      <c r="P3150" s="9"/>
      <c r="Q3150" s="2">
        <f t="shared" si="93"/>
        <v>2500</v>
      </c>
      <c r="T3150" s="11"/>
    </row>
    <row r="3151" spans="1:21" ht="11.85" customHeight="1" x14ac:dyDescent="0.2">
      <c r="A3151" s="3" t="s">
        <v>1366</v>
      </c>
      <c r="C3151" s="2">
        <v>8711.73</v>
      </c>
      <c r="E3151" s="2">
        <v>9321.73</v>
      </c>
      <c r="G3151" s="2">
        <v>9493.73</v>
      </c>
      <c r="I3151" s="2">
        <v>10000</v>
      </c>
      <c r="K3151" s="2">
        <v>10000</v>
      </c>
      <c r="L3151" s="9"/>
      <c r="M3151" s="2">
        <v>10000</v>
      </c>
      <c r="N3151" s="9"/>
      <c r="O3151" s="2">
        <v>0</v>
      </c>
      <c r="P3151" s="9"/>
      <c r="Q3151" s="2">
        <f t="shared" si="93"/>
        <v>10000</v>
      </c>
      <c r="T3151" s="11"/>
    </row>
    <row r="3152" spans="1:21" ht="11.85" hidden="1" customHeight="1" x14ac:dyDescent="0.2">
      <c r="A3152" s="3" t="s">
        <v>1261</v>
      </c>
      <c r="C3152" s="2">
        <v>0</v>
      </c>
      <c r="E3152" s="2">
        <v>0</v>
      </c>
      <c r="G3152" s="2">
        <v>0</v>
      </c>
      <c r="I3152" s="2">
        <v>0</v>
      </c>
      <c r="K3152" s="2">
        <v>0</v>
      </c>
      <c r="L3152" s="9"/>
      <c r="M3152" s="2">
        <v>0</v>
      </c>
      <c r="N3152" s="9"/>
      <c r="O3152" s="2">
        <v>0</v>
      </c>
      <c r="P3152" s="9"/>
      <c r="Q3152" s="2">
        <f t="shared" si="93"/>
        <v>0</v>
      </c>
      <c r="T3152" s="11"/>
    </row>
    <row r="3153" spans="1:20" ht="11.85" hidden="1" customHeight="1" x14ac:dyDescent="0.2">
      <c r="A3153" s="3" t="s">
        <v>1262</v>
      </c>
      <c r="C3153" s="2">
        <v>0</v>
      </c>
      <c r="E3153" s="2">
        <v>0</v>
      </c>
      <c r="G3153" s="2">
        <v>0</v>
      </c>
      <c r="I3153" s="2">
        <v>0</v>
      </c>
      <c r="K3153" s="2">
        <v>0</v>
      </c>
      <c r="L3153" s="9"/>
      <c r="M3153" s="2">
        <v>0</v>
      </c>
      <c r="N3153" s="9"/>
      <c r="O3153" s="2">
        <v>0</v>
      </c>
      <c r="P3153" s="9"/>
      <c r="Q3153" s="2">
        <f t="shared" si="93"/>
        <v>0</v>
      </c>
      <c r="T3153" s="11"/>
    </row>
    <row r="3154" spans="1:20" ht="11.85" customHeight="1" x14ac:dyDescent="0.2">
      <c r="A3154" s="3" t="s">
        <v>1367</v>
      </c>
      <c r="C3154" s="2">
        <v>10613.33</v>
      </c>
      <c r="E3154" s="2">
        <v>11101.95</v>
      </c>
      <c r="G3154" s="2">
        <v>12682.24</v>
      </c>
      <c r="I3154" s="2">
        <v>15000</v>
      </c>
      <c r="K3154" s="2">
        <v>15000</v>
      </c>
      <c r="L3154" s="9"/>
      <c r="M3154" s="2">
        <v>15500</v>
      </c>
      <c r="N3154" s="9"/>
      <c r="O3154" s="2">
        <v>0</v>
      </c>
      <c r="P3154" s="9"/>
      <c r="Q3154" s="2">
        <f t="shared" si="93"/>
        <v>15500</v>
      </c>
      <c r="T3154" s="11"/>
    </row>
    <row r="3155" spans="1:20" ht="11.85" customHeight="1" x14ac:dyDescent="0.2">
      <c r="A3155" s="3" t="s">
        <v>1368</v>
      </c>
      <c r="C3155" s="2">
        <v>0</v>
      </c>
      <c r="E3155" s="2">
        <v>0</v>
      </c>
      <c r="G3155" s="2">
        <v>0</v>
      </c>
      <c r="I3155" s="2">
        <v>0</v>
      </c>
      <c r="K3155" s="2">
        <v>32000</v>
      </c>
      <c r="L3155" s="9"/>
      <c r="M3155" s="2">
        <v>0</v>
      </c>
      <c r="N3155" s="9"/>
      <c r="O3155" s="2">
        <v>0</v>
      </c>
      <c r="P3155" s="9"/>
      <c r="Q3155" s="2">
        <f t="shared" si="93"/>
        <v>0</v>
      </c>
      <c r="T3155" s="11"/>
    </row>
    <row r="3156" spans="1:20" ht="11.85" customHeight="1" x14ac:dyDescent="0.2">
      <c r="A3156" s="3" t="s">
        <v>1369</v>
      </c>
      <c r="C3156" s="2">
        <v>4483</v>
      </c>
      <c r="E3156" s="2">
        <v>0</v>
      </c>
      <c r="G3156" s="2">
        <v>0</v>
      </c>
      <c r="I3156" s="2">
        <v>0</v>
      </c>
      <c r="K3156" s="2">
        <v>0</v>
      </c>
      <c r="L3156" s="9"/>
      <c r="M3156" s="2">
        <v>0</v>
      </c>
      <c r="N3156" s="9"/>
      <c r="O3156" s="2">
        <v>0</v>
      </c>
      <c r="P3156" s="9"/>
      <c r="Q3156" s="2">
        <f t="shared" si="93"/>
        <v>0</v>
      </c>
      <c r="T3156" s="11"/>
    </row>
    <row r="3157" spans="1:20" ht="11.85" customHeight="1" x14ac:dyDescent="0.2">
      <c r="A3157" s="3" t="s">
        <v>1370</v>
      </c>
      <c r="C3157" s="2">
        <v>0</v>
      </c>
      <c r="E3157" s="2">
        <v>0</v>
      </c>
      <c r="G3157" s="2">
        <v>0</v>
      </c>
      <c r="I3157" s="2">
        <v>0</v>
      </c>
      <c r="K3157" s="2">
        <v>0</v>
      </c>
      <c r="L3157" s="9"/>
      <c r="M3157" s="2">
        <v>0</v>
      </c>
      <c r="N3157" s="9"/>
      <c r="O3157" s="2">
        <v>0</v>
      </c>
      <c r="P3157" s="9"/>
      <c r="Q3157" s="2">
        <f t="shared" si="93"/>
        <v>0</v>
      </c>
      <c r="T3157" s="11"/>
    </row>
    <row r="3158" spans="1:20" ht="11.85" customHeight="1" x14ac:dyDescent="0.2">
      <c r="A3158" s="3" t="s">
        <v>1371</v>
      </c>
      <c r="C3158" s="2">
        <v>325.2</v>
      </c>
      <c r="E3158" s="2">
        <v>337.2</v>
      </c>
      <c r="G3158" s="2">
        <v>444</v>
      </c>
      <c r="I3158" s="2">
        <v>400</v>
      </c>
      <c r="K3158" s="2">
        <v>400</v>
      </c>
      <c r="L3158" s="9"/>
      <c r="M3158" s="2">
        <v>4500</v>
      </c>
      <c r="N3158" s="9"/>
      <c r="O3158" s="2">
        <v>0</v>
      </c>
      <c r="P3158" s="9"/>
      <c r="Q3158" s="2">
        <f t="shared" si="93"/>
        <v>4500</v>
      </c>
      <c r="T3158" s="11"/>
    </row>
    <row r="3159" spans="1:20" ht="11.85" customHeight="1" x14ac:dyDescent="0.2">
      <c r="A3159" s="3" t="s">
        <v>1372</v>
      </c>
      <c r="C3159" s="2">
        <v>0</v>
      </c>
      <c r="E3159" s="2">
        <v>1289.98</v>
      </c>
      <c r="G3159" s="2">
        <v>2209.2399999999998</v>
      </c>
      <c r="I3159" s="2">
        <v>1600</v>
      </c>
      <c r="K3159" s="2">
        <v>1600</v>
      </c>
      <c r="L3159" s="9"/>
      <c r="M3159" s="2">
        <v>2200</v>
      </c>
      <c r="N3159" s="9"/>
      <c r="O3159" s="2">
        <v>0</v>
      </c>
      <c r="P3159" s="9"/>
      <c r="Q3159" s="2">
        <f t="shared" si="93"/>
        <v>2200</v>
      </c>
      <c r="T3159" s="11"/>
    </row>
    <row r="3160" spans="1:20" ht="11.85" customHeight="1" x14ac:dyDescent="0.2">
      <c r="A3160" s="3" t="s">
        <v>1373</v>
      </c>
      <c r="C3160" s="2">
        <v>825</v>
      </c>
      <c r="E3160" s="2">
        <v>1100.48</v>
      </c>
      <c r="G3160" s="2">
        <v>1225</v>
      </c>
      <c r="I3160" s="2">
        <v>1400</v>
      </c>
      <c r="K3160" s="2">
        <v>1400</v>
      </c>
      <c r="L3160" s="9"/>
      <c r="M3160" s="2">
        <v>1400</v>
      </c>
      <c r="N3160" s="9"/>
      <c r="O3160" s="2">
        <v>0</v>
      </c>
      <c r="P3160" s="9"/>
      <c r="Q3160" s="2">
        <f t="shared" si="93"/>
        <v>1400</v>
      </c>
      <c r="T3160" s="11"/>
    </row>
    <row r="3161" spans="1:20" ht="11.85" customHeight="1" x14ac:dyDescent="0.2">
      <c r="A3161" s="3" t="s">
        <v>1374</v>
      </c>
      <c r="C3161" s="2">
        <v>126000</v>
      </c>
      <c r="E3161" s="2">
        <v>126000</v>
      </c>
      <c r="G3161" s="2">
        <v>122004</v>
      </c>
      <c r="I3161" s="2">
        <v>124000</v>
      </c>
      <c r="K3161" s="2">
        <v>124000</v>
      </c>
      <c r="L3161" s="9"/>
      <c r="M3161" s="2">
        <v>122000</v>
      </c>
      <c r="N3161" s="9"/>
      <c r="O3161" s="2">
        <v>0</v>
      </c>
      <c r="P3161" s="9"/>
      <c r="Q3161" s="2">
        <f t="shared" si="93"/>
        <v>122000</v>
      </c>
      <c r="T3161" s="11"/>
    </row>
    <row r="3162" spans="1:20" ht="11.85" customHeight="1" x14ac:dyDescent="0.2">
      <c r="A3162" s="3" t="s">
        <v>1375</v>
      </c>
      <c r="C3162" s="12">
        <v>50004</v>
      </c>
      <c r="E3162" s="12">
        <v>45000</v>
      </c>
      <c r="G3162" s="12">
        <v>45000</v>
      </c>
      <c r="I3162" s="12">
        <v>46000</v>
      </c>
      <c r="K3162" s="12">
        <v>46000</v>
      </c>
      <c r="L3162" s="9"/>
      <c r="M3162" s="12">
        <v>38000</v>
      </c>
      <c r="N3162" s="9"/>
      <c r="O3162" s="12">
        <v>0</v>
      </c>
      <c r="P3162" s="9"/>
      <c r="Q3162" s="12">
        <f t="shared" si="93"/>
        <v>38000</v>
      </c>
      <c r="T3162" s="11"/>
    </row>
    <row r="3163" spans="1:20" ht="11.85" customHeight="1" x14ac:dyDescent="0.2">
      <c r="A3163" s="3" t="s">
        <v>304</v>
      </c>
      <c r="C3163" s="2">
        <f>SUM(C3148:C3162)</f>
        <v>284416.03999999998</v>
      </c>
      <c r="E3163" s="2">
        <f>SUM(E3148:E3162)</f>
        <v>274781.89</v>
      </c>
      <c r="G3163" s="2">
        <f>SUM(G3148:G3162)</f>
        <v>275671.88</v>
      </c>
      <c r="I3163" s="2">
        <f>SUM(I3148:I3162)</f>
        <v>281050</v>
      </c>
      <c r="K3163" s="2">
        <f>SUM(K3148:K3162)</f>
        <v>331050</v>
      </c>
      <c r="L3163" s="9"/>
      <c r="M3163" s="2">
        <f>SUM(M3148:M3162)</f>
        <v>276250</v>
      </c>
      <c r="N3163" s="9"/>
      <c r="O3163" s="2">
        <f>SUM(O3148:O3162)</f>
        <v>0</v>
      </c>
      <c r="P3163" s="9"/>
      <c r="Q3163" s="2">
        <f>SUM(Q3148:Q3162)</f>
        <v>276250</v>
      </c>
    </row>
    <row r="3164" spans="1:20" ht="11.85" customHeight="1" x14ac:dyDescent="0.2">
      <c r="L3164" s="9"/>
      <c r="N3164" s="9"/>
      <c r="P3164" s="9"/>
    </row>
    <row r="3165" spans="1:20" ht="11.85" customHeight="1" x14ac:dyDescent="0.2">
      <c r="A3165" s="10" t="s">
        <v>305</v>
      </c>
      <c r="L3165" s="9"/>
      <c r="N3165" s="9"/>
      <c r="P3165" s="9"/>
    </row>
    <row r="3166" spans="1:20" ht="11.85" customHeight="1" x14ac:dyDescent="0.2">
      <c r="A3166" s="3" t="s">
        <v>1376</v>
      </c>
      <c r="C3166" s="2">
        <v>111</v>
      </c>
      <c r="E3166" s="2">
        <v>404.17</v>
      </c>
      <c r="G3166" s="2">
        <v>252.25</v>
      </c>
      <c r="I3166" s="2">
        <v>900</v>
      </c>
      <c r="K3166" s="2">
        <v>900</v>
      </c>
      <c r="L3166" s="9"/>
      <c r="M3166" s="2">
        <v>900</v>
      </c>
      <c r="N3166" s="9"/>
      <c r="O3166" s="2">
        <v>0</v>
      </c>
      <c r="P3166" s="9"/>
      <c r="Q3166" s="2">
        <f t="shared" ref="Q3166:Q3184" si="94">M3166+O3166</f>
        <v>900</v>
      </c>
      <c r="T3166" s="11"/>
    </row>
    <row r="3167" spans="1:20" ht="11.85" customHeight="1" x14ac:dyDescent="0.2">
      <c r="A3167" s="3" t="s">
        <v>1377</v>
      </c>
      <c r="C3167" s="2">
        <v>1903.95</v>
      </c>
      <c r="E3167" s="2">
        <v>1012.21</v>
      </c>
      <c r="G3167" s="2">
        <v>1235.2</v>
      </c>
      <c r="I3167" s="2">
        <v>2700</v>
      </c>
      <c r="K3167" s="2">
        <f>2700+1000</f>
        <v>3700</v>
      </c>
      <c r="L3167" s="9"/>
      <c r="M3167" s="2">
        <v>4000</v>
      </c>
      <c r="N3167" s="9"/>
      <c r="O3167" s="2">
        <v>0</v>
      </c>
      <c r="P3167" s="9"/>
      <c r="Q3167" s="2">
        <f t="shared" si="94"/>
        <v>4000</v>
      </c>
      <c r="T3167" s="11"/>
    </row>
    <row r="3168" spans="1:20" ht="11.85" customHeight="1" x14ac:dyDescent="0.2">
      <c r="A3168" s="3" t="s">
        <v>1378</v>
      </c>
      <c r="C3168" s="2">
        <v>2429.6799999999998</v>
      </c>
      <c r="E3168" s="2">
        <v>3339.54</v>
      </c>
      <c r="G3168" s="2">
        <v>4102.1499999999996</v>
      </c>
      <c r="I3168" s="2">
        <v>5000</v>
      </c>
      <c r="K3168" s="2">
        <f>5000-1000</f>
        <v>4000</v>
      </c>
      <c r="L3168" s="9"/>
      <c r="M3168" s="2">
        <v>5000</v>
      </c>
      <c r="N3168" s="9"/>
      <c r="O3168" s="2">
        <v>0</v>
      </c>
      <c r="P3168" s="9"/>
      <c r="Q3168" s="2">
        <f t="shared" si="94"/>
        <v>5000</v>
      </c>
      <c r="T3168" s="11"/>
    </row>
    <row r="3169" spans="1:20" ht="11.85" customHeight="1" x14ac:dyDescent="0.2">
      <c r="A3169" s="3" t="s">
        <v>1379</v>
      </c>
      <c r="C3169" s="2">
        <v>719.29</v>
      </c>
      <c r="E3169" s="2">
        <v>1569.81</v>
      </c>
      <c r="G3169" s="2">
        <v>2533.63</v>
      </c>
      <c r="I3169" s="2">
        <v>12000</v>
      </c>
      <c r="K3169" s="2">
        <v>12000</v>
      </c>
      <c r="L3169" s="9"/>
      <c r="M3169" s="2">
        <v>7000</v>
      </c>
      <c r="N3169" s="9"/>
      <c r="O3169" s="2">
        <v>0</v>
      </c>
      <c r="P3169" s="9"/>
      <c r="Q3169" s="2">
        <f t="shared" si="94"/>
        <v>7000</v>
      </c>
      <c r="T3169" s="11"/>
    </row>
    <row r="3170" spans="1:20" ht="11.85" customHeight="1" x14ac:dyDescent="0.2">
      <c r="A3170" s="3" t="s">
        <v>1380</v>
      </c>
      <c r="C3170" s="2">
        <v>1186.94</v>
      </c>
      <c r="E3170" s="2">
        <v>92.16</v>
      </c>
      <c r="G3170" s="2">
        <v>37.69</v>
      </c>
      <c r="I3170" s="2">
        <v>2000</v>
      </c>
      <c r="K3170" s="2">
        <v>2000</v>
      </c>
      <c r="L3170" s="9"/>
      <c r="M3170" s="2">
        <v>2000</v>
      </c>
      <c r="N3170" s="9"/>
      <c r="O3170" s="2">
        <v>0</v>
      </c>
      <c r="P3170" s="9"/>
      <c r="Q3170" s="2">
        <f t="shared" si="94"/>
        <v>2000</v>
      </c>
      <c r="T3170" s="11"/>
    </row>
    <row r="3171" spans="1:20" ht="11.85" customHeight="1" x14ac:dyDescent="0.2">
      <c r="A3171" s="3" t="s">
        <v>1381</v>
      </c>
      <c r="C3171" s="2">
        <v>0</v>
      </c>
      <c r="E3171" s="2">
        <v>0</v>
      </c>
      <c r="G3171" s="2">
        <v>0</v>
      </c>
      <c r="I3171" s="2">
        <v>0</v>
      </c>
      <c r="K3171" s="2">
        <v>0</v>
      </c>
      <c r="L3171" s="9"/>
      <c r="M3171" s="2">
        <v>0</v>
      </c>
      <c r="N3171" s="9"/>
      <c r="O3171" s="2">
        <v>0</v>
      </c>
      <c r="P3171" s="9"/>
      <c r="Q3171" s="2">
        <f t="shared" si="94"/>
        <v>0</v>
      </c>
      <c r="T3171" s="11"/>
    </row>
    <row r="3172" spans="1:20" ht="11.85" customHeight="1" x14ac:dyDescent="0.2">
      <c r="A3172" s="3" t="s">
        <v>1382</v>
      </c>
      <c r="C3172" s="2">
        <v>0</v>
      </c>
      <c r="E3172" s="2">
        <v>0.01</v>
      </c>
      <c r="G3172" s="2">
        <v>0</v>
      </c>
      <c r="I3172" s="2">
        <v>0</v>
      </c>
      <c r="K3172" s="2">
        <v>0</v>
      </c>
      <c r="L3172" s="9"/>
      <c r="M3172" s="2">
        <v>0</v>
      </c>
      <c r="N3172" s="9"/>
      <c r="O3172" s="2">
        <v>0</v>
      </c>
      <c r="P3172" s="9"/>
      <c r="Q3172" s="2">
        <f t="shared" si="94"/>
        <v>0</v>
      </c>
      <c r="T3172" s="11"/>
    </row>
    <row r="3173" spans="1:20" ht="11.85" customHeight="1" x14ac:dyDescent="0.2">
      <c r="A3173" s="3" t="s">
        <v>1383</v>
      </c>
      <c r="C3173" s="2">
        <v>0</v>
      </c>
      <c r="E3173" s="2">
        <v>0</v>
      </c>
      <c r="G3173" s="2">
        <v>0</v>
      </c>
      <c r="I3173" s="2">
        <v>1500</v>
      </c>
      <c r="K3173" s="2">
        <v>1500</v>
      </c>
      <c r="L3173" s="9"/>
      <c r="M3173" s="2">
        <v>0</v>
      </c>
      <c r="N3173" s="9"/>
      <c r="O3173" s="2">
        <v>0</v>
      </c>
      <c r="P3173" s="9"/>
      <c r="Q3173" s="2">
        <f t="shared" si="94"/>
        <v>0</v>
      </c>
      <c r="T3173" s="11"/>
    </row>
    <row r="3174" spans="1:20" ht="11.85" customHeight="1" x14ac:dyDescent="0.2">
      <c r="A3174" s="3" t="s">
        <v>1384</v>
      </c>
      <c r="C3174" s="2">
        <v>1537.93</v>
      </c>
      <c r="E3174" s="2">
        <v>197.49</v>
      </c>
      <c r="G3174" s="2">
        <v>0</v>
      </c>
      <c r="I3174" s="2">
        <v>2500</v>
      </c>
      <c r="K3174" s="2">
        <v>2500</v>
      </c>
      <c r="L3174" s="9"/>
      <c r="M3174" s="2">
        <v>2500</v>
      </c>
      <c r="N3174" s="9"/>
      <c r="O3174" s="2">
        <v>0</v>
      </c>
      <c r="P3174" s="9"/>
      <c r="Q3174" s="2">
        <f t="shared" si="94"/>
        <v>2500</v>
      </c>
      <c r="T3174" s="11"/>
    </row>
    <row r="3175" spans="1:20" ht="11.85" customHeight="1" x14ac:dyDescent="0.2">
      <c r="A3175" s="3" t="s">
        <v>1385</v>
      </c>
      <c r="C3175" s="2">
        <v>886.44</v>
      </c>
      <c r="E3175" s="2">
        <v>2087.6799999999998</v>
      </c>
      <c r="G3175" s="2">
        <v>3427.72</v>
      </c>
      <c r="I3175" s="2">
        <v>2000</v>
      </c>
      <c r="K3175" s="2">
        <f>2000+1000</f>
        <v>3000</v>
      </c>
      <c r="L3175" s="9"/>
      <c r="M3175" s="2">
        <v>17000</v>
      </c>
      <c r="N3175" s="9"/>
      <c r="O3175" s="2">
        <v>0</v>
      </c>
      <c r="P3175" s="9"/>
      <c r="Q3175" s="2">
        <f t="shared" si="94"/>
        <v>17000</v>
      </c>
      <c r="T3175" s="11"/>
    </row>
    <row r="3176" spans="1:20" ht="11.85" customHeight="1" x14ac:dyDescent="0.2">
      <c r="A3176" s="3" t="s">
        <v>1386</v>
      </c>
      <c r="C3176" s="2">
        <v>5594.78</v>
      </c>
      <c r="E3176" s="2">
        <v>9584.1</v>
      </c>
      <c r="G3176" s="2">
        <v>7676.79</v>
      </c>
      <c r="I3176" s="2">
        <v>15000</v>
      </c>
      <c r="K3176" s="2">
        <f>15000-2000-1000</f>
        <v>12000</v>
      </c>
      <c r="L3176" s="9"/>
      <c r="M3176" s="2">
        <v>15000</v>
      </c>
      <c r="N3176" s="9"/>
      <c r="O3176" s="2">
        <v>0</v>
      </c>
      <c r="P3176" s="9"/>
      <c r="Q3176" s="2">
        <f t="shared" si="94"/>
        <v>15000</v>
      </c>
      <c r="T3176" s="11"/>
    </row>
    <row r="3177" spans="1:20" ht="11.85" customHeight="1" x14ac:dyDescent="0.2">
      <c r="A3177" s="3" t="s">
        <v>1387</v>
      </c>
      <c r="C3177" s="2">
        <v>900</v>
      </c>
      <c r="E3177" s="2">
        <v>1000</v>
      </c>
      <c r="G3177" s="2">
        <v>1137.8599999999999</v>
      </c>
      <c r="I3177" s="2">
        <v>900</v>
      </c>
      <c r="K3177" s="2">
        <v>900</v>
      </c>
      <c r="L3177" s="9"/>
      <c r="M3177" s="2">
        <v>900</v>
      </c>
      <c r="N3177" s="9"/>
      <c r="O3177" s="2">
        <v>0</v>
      </c>
      <c r="P3177" s="9"/>
      <c r="Q3177" s="2">
        <f t="shared" si="94"/>
        <v>900</v>
      </c>
      <c r="T3177" s="11"/>
    </row>
    <row r="3178" spans="1:20" ht="11.85" customHeight="1" x14ac:dyDescent="0.2">
      <c r="A3178" s="3" t="s">
        <v>1388</v>
      </c>
      <c r="C3178" s="2">
        <v>0</v>
      </c>
      <c r="E3178" s="2">
        <v>5.64</v>
      </c>
      <c r="G3178" s="2">
        <v>131.22</v>
      </c>
      <c r="I3178" s="2">
        <v>220</v>
      </c>
      <c r="K3178" s="2">
        <v>220</v>
      </c>
      <c r="L3178" s="9"/>
      <c r="M3178" s="2">
        <v>220</v>
      </c>
      <c r="N3178" s="9"/>
      <c r="O3178" s="2">
        <v>0</v>
      </c>
      <c r="P3178" s="9"/>
      <c r="Q3178" s="2">
        <f t="shared" si="94"/>
        <v>220</v>
      </c>
      <c r="T3178" s="11"/>
    </row>
    <row r="3179" spans="1:20" ht="11.85" hidden="1" customHeight="1" x14ac:dyDescent="0.2">
      <c r="A3179" s="3" t="s">
        <v>1283</v>
      </c>
      <c r="C3179" s="2">
        <v>0</v>
      </c>
      <c r="E3179" s="2">
        <v>0</v>
      </c>
      <c r="G3179" s="2">
        <v>0</v>
      </c>
      <c r="I3179" s="2">
        <v>0</v>
      </c>
      <c r="K3179" s="2">
        <v>0</v>
      </c>
      <c r="L3179" s="9"/>
      <c r="M3179" s="2">
        <v>0</v>
      </c>
      <c r="N3179" s="9"/>
      <c r="O3179" s="2">
        <v>0</v>
      </c>
      <c r="P3179" s="9"/>
      <c r="Q3179" s="2">
        <f t="shared" si="94"/>
        <v>0</v>
      </c>
      <c r="T3179" s="11"/>
    </row>
    <row r="3180" spans="1:20" ht="11.85" customHeight="1" x14ac:dyDescent="0.2">
      <c r="A3180" s="3" t="s">
        <v>1389</v>
      </c>
      <c r="C3180" s="2">
        <v>25261.5</v>
      </c>
      <c r="E3180" s="2">
        <v>33955.449999999997</v>
      </c>
      <c r="G3180" s="2">
        <v>40481.42</v>
      </c>
      <c r="I3180" s="2">
        <v>31500</v>
      </c>
      <c r="K3180" s="2">
        <f>31500+5000</f>
        <v>36500</v>
      </c>
      <c r="L3180" s="9"/>
      <c r="M3180" s="2">
        <v>31500</v>
      </c>
      <c r="N3180" s="9"/>
      <c r="O3180" s="2">
        <v>0</v>
      </c>
      <c r="P3180" s="9"/>
      <c r="Q3180" s="2">
        <f t="shared" si="94"/>
        <v>31500</v>
      </c>
      <c r="T3180" s="11"/>
    </row>
    <row r="3181" spans="1:20" ht="11.85" customHeight="1" x14ac:dyDescent="0.2">
      <c r="A3181" s="3" t="s">
        <v>1390</v>
      </c>
      <c r="C3181" s="2">
        <v>0</v>
      </c>
      <c r="E3181" s="2">
        <v>270</v>
      </c>
      <c r="G3181" s="2">
        <v>510.31</v>
      </c>
      <c r="I3181" s="2">
        <v>750</v>
      </c>
      <c r="K3181" s="2">
        <v>750</v>
      </c>
      <c r="L3181" s="9"/>
      <c r="M3181" s="2">
        <v>750</v>
      </c>
      <c r="N3181" s="9"/>
      <c r="O3181" s="2">
        <v>0</v>
      </c>
      <c r="P3181" s="9"/>
      <c r="Q3181" s="2">
        <f t="shared" si="94"/>
        <v>750</v>
      </c>
      <c r="T3181" s="11"/>
    </row>
    <row r="3182" spans="1:20" ht="11.85" customHeight="1" x14ac:dyDescent="0.2">
      <c r="A3182" s="3" t="s">
        <v>1391</v>
      </c>
      <c r="C3182" s="2">
        <v>26764.639999999999</v>
      </c>
      <c r="E3182" s="2">
        <v>25689.64</v>
      </c>
      <c r="G3182" s="2">
        <v>34195.86</v>
      </c>
      <c r="I3182" s="2">
        <v>33000</v>
      </c>
      <c r="K3182" s="2">
        <f>33000-5000</f>
        <v>28000</v>
      </c>
      <c r="L3182" s="9"/>
      <c r="M3182" s="2">
        <v>24000</v>
      </c>
      <c r="N3182" s="9"/>
      <c r="O3182" s="2">
        <v>0</v>
      </c>
      <c r="P3182" s="9"/>
      <c r="Q3182" s="2">
        <f t="shared" si="94"/>
        <v>24000</v>
      </c>
      <c r="T3182" s="11"/>
    </row>
    <row r="3183" spans="1:20" ht="11.85" hidden="1" customHeight="1" x14ac:dyDescent="0.2">
      <c r="A3183" s="3" t="s">
        <v>1287</v>
      </c>
      <c r="C3183" s="2">
        <v>0</v>
      </c>
      <c r="E3183" s="2">
        <v>0</v>
      </c>
      <c r="G3183" s="2">
        <v>0</v>
      </c>
      <c r="I3183" s="2">
        <v>0</v>
      </c>
      <c r="K3183" s="2">
        <v>0</v>
      </c>
      <c r="L3183" s="9"/>
      <c r="M3183" s="2">
        <v>0</v>
      </c>
      <c r="N3183" s="9"/>
      <c r="O3183" s="2">
        <v>0</v>
      </c>
      <c r="P3183" s="9"/>
      <c r="Q3183" s="2">
        <f t="shared" si="94"/>
        <v>0</v>
      </c>
      <c r="T3183" s="11"/>
    </row>
    <row r="3184" spans="1:20" ht="11.85" customHeight="1" x14ac:dyDescent="0.2">
      <c r="A3184" s="3" t="s">
        <v>1392</v>
      </c>
      <c r="C3184" s="2">
        <v>11400</v>
      </c>
      <c r="E3184" s="2">
        <v>4695</v>
      </c>
      <c r="G3184" s="2">
        <v>4996</v>
      </c>
      <c r="I3184" s="2">
        <v>7000</v>
      </c>
      <c r="K3184" s="2">
        <v>7000</v>
      </c>
      <c r="L3184" s="9"/>
      <c r="M3184" s="2">
        <v>7000</v>
      </c>
      <c r="N3184" s="9"/>
      <c r="O3184" s="2">
        <v>0</v>
      </c>
      <c r="P3184" s="9"/>
      <c r="Q3184" s="2">
        <f t="shared" si="94"/>
        <v>7000</v>
      </c>
      <c r="T3184" s="11"/>
    </row>
    <row r="3185" spans="1:20" ht="11.85" customHeight="1" x14ac:dyDescent="0.2">
      <c r="A3185" s="3" t="s">
        <v>1393</v>
      </c>
      <c r="C3185" s="12">
        <v>10887.5</v>
      </c>
      <c r="E3185" s="12">
        <v>8450</v>
      </c>
      <c r="G3185" s="12">
        <v>10275.129999999999</v>
      </c>
      <c r="I3185" s="12">
        <v>12200</v>
      </c>
      <c r="K3185" s="12">
        <v>12200</v>
      </c>
      <c r="L3185" s="9"/>
      <c r="M3185" s="12">
        <v>7200</v>
      </c>
      <c r="N3185" s="9"/>
      <c r="O3185" s="12">
        <v>0</v>
      </c>
      <c r="P3185" s="9"/>
      <c r="Q3185" s="12">
        <f>M3185+O3185</f>
        <v>7200</v>
      </c>
      <c r="T3185" s="11"/>
    </row>
    <row r="3186" spans="1:20" ht="11.85" customHeight="1" x14ac:dyDescent="0.2">
      <c r="A3186" s="3" t="s">
        <v>328</v>
      </c>
      <c r="C3186" s="2">
        <f>SUM(C3166:C3185)</f>
        <v>89583.65</v>
      </c>
      <c r="E3186" s="2">
        <f>SUM(E3166:E3172)+SUM(E3173:E3185)</f>
        <v>92352.9</v>
      </c>
      <c r="G3186" s="2">
        <f>SUM(G3166:G3172)+SUM(G3173:G3185)</f>
        <v>110993.23</v>
      </c>
      <c r="I3186" s="2">
        <f>SUM(I3166:I3172)+SUM(I3173:I3185)</f>
        <v>129170</v>
      </c>
      <c r="K3186" s="2">
        <f>SUM(K3166:K3172)+SUM(K3173:K3185)</f>
        <v>127170</v>
      </c>
      <c r="L3186" s="9"/>
      <c r="M3186" s="2">
        <f>SUM(M3166:M3172)+SUM(M3173:M3185)</f>
        <v>124970</v>
      </c>
      <c r="N3186" s="9"/>
      <c r="O3186" s="2">
        <f>SUM(O3166:O3172)+SUM(O3173:O3185)</f>
        <v>0</v>
      </c>
      <c r="P3186" s="9"/>
      <c r="Q3186" s="2">
        <f>SUM(Q3166:Q3172)+SUM(Q3173:Q3185)</f>
        <v>124970</v>
      </c>
      <c r="R3186" s="9"/>
    </row>
    <row r="3187" spans="1:20" ht="11.85" customHeight="1" x14ac:dyDescent="0.2">
      <c r="L3187" s="9"/>
      <c r="N3187" s="9"/>
      <c r="P3187" s="9"/>
    </row>
    <row r="3188" spans="1:20" ht="11.85" customHeight="1" x14ac:dyDescent="0.2">
      <c r="A3188" s="3" t="s">
        <v>1394</v>
      </c>
      <c r="C3188" s="2">
        <v>0</v>
      </c>
      <c r="E3188" s="2">
        <v>0</v>
      </c>
      <c r="G3188" s="2">
        <v>0</v>
      </c>
      <c r="I3188" s="2">
        <v>0</v>
      </c>
      <c r="K3188" s="2">
        <v>0</v>
      </c>
      <c r="L3188" s="9"/>
      <c r="M3188" s="2">
        <v>0</v>
      </c>
      <c r="N3188" s="9"/>
      <c r="O3188" s="2">
        <v>0</v>
      </c>
      <c r="P3188" s="9"/>
      <c r="Q3188" s="2">
        <f>M3188+O3188</f>
        <v>0</v>
      </c>
    </row>
    <row r="3189" spans="1:20" ht="11.85" customHeight="1" x14ac:dyDescent="0.2">
      <c r="A3189" s="3" t="s">
        <v>1395</v>
      </c>
      <c r="C3189" s="12">
        <v>0</v>
      </c>
      <c r="E3189" s="12">
        <v>61113.41</v>
      </c>
      <c r="G3189" s="12">
        <v>0</v>
      </c>
      <c r="I3189" s="12">
        <v>0</v>
      </c>
      <c r="K3189" s="12">
        <v>36000</v>
      </c>
      <c r="L3189" s="9"/>
      <c r="M3189" s="12">
        <v>0</v>
      </c>
      <c r="N3189" s="9"/>
      <c r="O3189" s="12">
        <v>0</v>
      </c>
      <c r="P3189" s="9"/>
      <c r="Q3189" s="12">
        <f>M3189+O3189</f>
        <v>0</v>
      </c>
    </row>
    <row r="3190" spans="1:20" ht="11.85" customHeight="1" x14ac:dyDescent="0.2">
      <c r="A3190" s="3" t="s">
        <v>331</v>
      </c>
      <c r="C3190" s="2">
        <f>SUM(C3188:C3189)</f>
        <v>0</v>
      </c>
      <c r="E3190" s="2">
        <f>SUM(E3188:E3189)</f>
        <v>61113.41</v>
      </c>
      <c r="G3190" s="2">
        <f>SUM(G3188:G3189)</f>
        <v>0</v>
      </c>
      <c r="I3190" s="2">
        <f>SUM(I3188:I3189)</f>
        <v>0</v>
      </c>
      <c r="K3190" s="2">
        <f>SUM(K3188:K3189)</f>
        <v>36000</v>
      </c>
      <c r="L3190" s="9"/>
      <c r="M3190" s="2">
        <f>SUM(M3188:M3189)</f>
        <v>0</v>
      </c>
      <c r="N3190" s="9"/>
      <c r="O3190" s="2">
        <f>SUM(O3188:O3189)</f>
        <v>0</v>
      </c>
      <c r="P3190" s="9"/>
      <c r="Q3190" s="2">
        <f>SUM(Q3188:Q3189)</f>
        <v>0</v>
      </c>
    </row>
    <row r="3191" spans="1:20" ht="11.85" customHeight="1" x14ac:dyDescent="0.2">
      <c r="L3191" s="9"/>
      <c r="N3191" s="9"/>
      <c r="P3191" s="9"/>
    </row>
    <row r="3192" spans="1:20" ht="11.85" customHeight="1" x14ac:dyDescent="0.2">
      <c r="A3192" s="1"/>
      <c r="B3192" s="1"/>
      <c r="E3192" s="2" t="str">
        <f>$E$1</f>
        <v>CITY OF BRADY</v>
      </c>
    </row>
    <row r="3193" spans="1:20" ht="11.85" customHeight="1" x14ac:dyDescent="0.2">
      <c r="E3193" s="2" t="str">
        <f>$E$2</f>
        <v>BUDGET REPORT</v>
      </c>
    </row>
    <row r="3194" spans="1:20" ht="11.85" customHeight="1" x14ac:dyDescent="0.2">
      <c r="E3194" s="2" t="str">
        <f>$E$3</f>
        <v>FISCAL YEAR 2024 - 2025</v>
      </c>
    </row>
    <row r="3195" spans="1:20" ht="11.85" customHeight="1" x14ac:dyDescent="0.2">
      <c r="A3195" s="3" t="s">
        <v>1306</v>
      </c>
    </row>
    <row r="3196" spans="1:20" ht="11.85" customHeight="1" x14ac:dyDescent="0.2">
      <c r="A3196" s="3" t="s">
        <v>1352</v>
      </c>
    </row>
    <row r="3197" spans="1:20" ht="11.85" customHeight="1" x14ac:dyDescent="0.2">
      <c r="I3197" s="53" t="str">
        <f>$I$6</f>
        <v>(----- 2023-2024------)</v>
      </c>
      <c r="J3197" s="53"/>
      <c r="K3197" s="53"/>
      <c r="L3197" s="6"/>
      <c r="M3197" s="54" t="str">
        <f>$M$6</f>
        <v>2024-2025</v>
      </c>
      <c r="N3197" s="54"/>
      <c r="O3197" s="54"/>
      <c r="P3197" s="54"/>
      <c r="Q3197" s="54"/>
    </row>
    <row r="3198" spans="1:20" ht="11.85" customHeight="1" x14ac:dyDescent="0.2">
      <c r="C3198" s="5" t="str">
        <f>$C$7</f>
        <v>2020-2021</v>
      </c>
      <c r="D3198" s="5"/>
      <c r="E3198" s="5" t="str">
        <f>$E$7</f>
        <v>2021-2022</v>
      </c>
      <c r="F3198" s="5"/>
      <c r="G3198" s="5" t="str">
        <f>$G$7</f>
        <v>2022-2023</v>
      </c>
      <c r="H3198" s="5"/>
      <c r="I3198" s="5" t="s">
        <v>9</v>
      </c>
      <c r="J3198" s="5"/>
      <c r="K3198" s="5" t="str">
        <f>+$K$7</f>
        <v>PROJECTED</v>
      </c>
      <c r="L3198" s="6"/>
      <c r="M3198" s="5">
        <f>$M$7</f>
        <v>0</v>
      </c>
      <c r="N3198" s="6"/>
      <c r="O3198" s="5" t="str">
        <f>$O$7</f>
        <v>2024-2025</v>
      </c>
      <c r="P3198" s="6"/>
      <c r="Q3198" s="5" t="str">
        <f>$Q$7</f>
        <v>APPROVED</v>
      </c>
    </row>
    <row r="3199" spans="1:20" ht="11.85" customHeight="1" x14ac:dyDescent="0.2">
      <c r="A3199" s="7" t="s">
        <v>273</v>
      </c>
      <c r="C3199" s="8" t="s">
        <v>12</v>
      </c>
      <c r="D3199" s="5"/>
      <c r="E3199" s="8" t="s">
        <v>12</v>
      </c>
      <c r="F3199" s="5"/>
      <c r="G3199" s="8" t="s">
        <v>12</v>
      </c>
      <c r="H3199" s="5"/>
      <c r="I3199" s="8" t="s">
        <v>13</v>
      </c>
      <c r="J3199" s="5"/>
      <c r="K3199" s="8" t="s">
        <v>13</v>
      </c>
      <c r="L3199" s="6"/>
      <c r="M3199" s="8" t="str">
        <f>$M$8</f>
        <v>BASE</v>
      </c>
      <c r="N3199" s="6"/>
      <c r="O3199" s="8" t="str">
        <f>$O$8</f>
        <v>SUPPLEMENTAL</v>
      </c>
      <c r="P3199" s="6"/>
      <c r="Q3199" s="8" t="str">
        <f>$Q$8</f>
        <v>BUDGET</v>
      </c>
    </row>
    <row r="3200" spans="1:20" ht="11.85" customHeight="1" x14ac:dyDescent="0.2">
      <c r="L3200" s="9"/>
      <c r="N3200" s="9"/>
      <c r="P3200" s="9"/>
    </row>
    <row r="3201" spans="1:22" ht="11.85" customHeight="1" x14ac:dyDescent="0.2">
      <c r="A3201" s="10" t="s">
        <v>1016</v>
      </c>
      <c r="L3201" s="9"/>
      <c r="N3201" s="9"/>
      <c r="P3201" s="9"/>
    </row>
    <row r="3202" spans="1:22" ht="11.85" customHeight="1" x14ac:dyDescent="0.2">
      <c r="A3202" s="3" t="s">
        <v>1396</v>
      </c>
      <c r="C3202" s="12">
        <v>13881.36</v>
      </c>
      <c r="E3202" s="12">
        <v>33627.919999999998</v>
      </c>
      <c r="G3202" s="12">
        <v>4140.3599999999997</v>
      </c>
      <c r="I3202" s="12">
        <v>50000</v>
      </c>
      <c r="K3202" s="12">
        <f>32000-32000</f>
        <v>0</v>
      </c>
      <c r="L3202" s="9"/>
      <c r="M3202" s="12">
        <v>0</v>
      </c>
      <c r="N3202" s="9"/>
      <c r="O3202" s="12">
        <v>0</v>
      </c>
      <c r="P3202" s="9"/>
      <c r="Q3202" s="12">
        <f>M3202+O3202</f>
        <v>0</v>
      </c>
    </row>
    <row r="3203" spans="1:22" ht="11.85" customHeight="1" x14ac:dyDescent="0.2">
      <c r="A3203" s="3" t="s">
        <v>1018</v>
      </c>
      <c r="C3203" s="2">
        <f>SUM(C3202:C3202)</f>
        <v>13881.36</v>
      </c>
      <c r="E3203" s="2">
        <f>SUM(E3202:E3202)</f>
        <v>33627.919999999998</v>
      </c>
      <c r="G3203" s="2">
        <f>SUM(G3202:G3202)</f>
        <v>4140.3599999999997</v>
      </c>
      <c r="I3203" s="2">
        <f>SUM(I3202:I3202)</f>
        <v>50000</v>
      </c>
      <c r="K3203" s="2">
        <f>SUM(K3202:K3202)</f>
        <v>0</v>
      </c>
      <c r="L3203" s="9"/>
      <c r="M3203" s="2">
        <f>SUM(M3202:M3202)</f>
        <v>0</v>
      </c>
      <c r="N3203" s="9"/>
      <c r="O3203" s="2">
        <f>SUM(O3202:O3202)</f>
        <v>0</v>
      </c>
      <c r="P3203" s="9"/>
      <c r="Q3203" s="2">
        <f>SUM(Q3202:Q3202)</f>
        <v>0</v>
      </c>
    </row>
    <row r="3204" spans="1:22" ht="11.85" customHeight="1" x14ac:dyDescent="0.2">
      <c r="L3204" s="9"/>
      <c r="N3204" s="9"/>
      <c r="P3204" s="9"/>
    </row>
    <row r="3205" spans="1:22" ht="11.85" customHeight="1" x14ac:dyDescent="0.2">
      <c r="A3205" s="10" t="s">
        <v>332</v>
      </c>
      <c r="L3205" s="9"/>
      <c r="N3205" s="9"/>
      <c r="P3205" s="9"/>
    </row>
    <row r="3206" spans="1:22" ht="11.85" customHeight="1" x14ac:dyDescent="0.2">
      <c r="A3206" s="3" t="s">
        <v>1397</v>
      </c>
      <c r="C3206" s="2">
        <v>125000</v>
      </c>
      <c r="E3206" s="2">
        <v>125000</v>
      </c>
      <c r="G3206" s="2">
        <v>143224.37</v>
      </c>
      <c r="I3206" s="2">
        <v>163200</v>
      </c>
      <c r="K3206" s="2">
        <v>163200</v>
      </c>
      <c r="L3206" s="9"/>
      <c r="M3206" s="2">
        <v>35200</v>
      </c>
      <c r="N3206" s="9"/>
      <c r="O3206" s="2">
        <v>0</v>
      </c>
      <c r="P3206" s="9"/>
      <c r="Q3206" s="2">
        <f t="shared" ref="Q3206:Q3211" si="95">M3206+O3206</f>
        <v>35200</v>
      </c>
      <c r="T3206" s="11"/>
    </row>
    <row r="3207" spans="1:22" ht="11.85" customHeight="1" x14ac:dyDescent="0.2">
      <c r="A3207" s="3" t="s">
        <v>1398</v>
      </c>
      <c r="C3207" s="2">
        <v>0</v>
      </c>
      <c r="E3207" s="2">
        <v>0</v>
      </c>
      <c r="G3207" s="2">
        <v>0</v>
      </c>
      <c r="I3207" s="2">
        <v>0</v>
      </c>
      <c r="K3207" s="2">
        <v>182820</v>
      </c>
      <c r="L3207" s="9"/>
      <c r="M3207" s="2">
        <v>0</v>
      </c>
      <c r="N3207" s="9"/>
      <c r="O3207" s="2">
        <v>0</v>
      </c>
      <c r="P3207" s="9"/>
      <c r="Q3207" s="2">
        <f t="shared" si="95"/>
        <v>0</v>
      </c>
    </row>
    <row r="3208" spans="1:22" ht="11.85" hidden="1" customHeight="1" x14ac:dyDescent="0.2">
      <c r="A3208" s="3" t="s">
        <v>1399</v>
      </c>
      <c r="C3208" s="2">
        <v>0</v>
      </c>
      <c r="E3208" s="2">
        <v>0</v>
      </c>
      <c r="G3208" s="2">
        <v>0</v>
      </c>
      <c r="I3208" s="2">
        <v>0</v>
      </c>
      <c r="K3208" s="2">
        <v>0</v>
      </c>
      <c r="L3208" s="9"/>
      <c r="M3208" s="2">
        <v>0</v>
      </c>
      <c r="N3208" s="9"/>
      <c r="O3208" s="2">
        <v>0</v>
      </c>
      <c r="P3208" s="9"/>
      <c r="Q3208" s="2">
        <f t="shared" si="95"/>
        <v>0</v>
      </c>
    </row>
    <row r="3209" spans="1:22" ht="11.85" customHeight="1" x14ac:dyDescent="0.2">
      <c r="A3209" s="3" t="s">
        <v>1400</v>
      </c>
      <c r="C3209" s="2">
        <v>260754.5</v>
      </c>
      <c r="E3209" s="2">
        <v>265878.74</v>
      </c>
      <c r="G3209" s="2">
        <v>330859</v>
      </c>
      <c r="I3209" s="2">
        <v>335860</v>
      </c>
      <c r="K3209" s="2">
        <v>335860</v>
      </c>
      <c r="L3209" s="9"/>
      <c r="M3209" s="2">
        <v>465860</v>
      </c>
      <c r="N3209" s="9"/>
      <c r="O3209" s="2">
        <v>0</v>
      </c>
      <c r="P3209" s="9"/>
      <c r="Q3209" s="2">
        <f t="shared" si="95"/>
        <v>465860</v>
      </c>
      <c r="S3209" s="18"/>
      <c r="U3209" s="2"/>
    </row>
    <row r="3210" spans="1:22" ht="11.85" hidden="1" customHeight="1" x14ac:dyDescent="0.2">
      <c r="A3210" s="3" t="s">
        <v>1401</v>
      </c>
      <c r="C3210" s="2">
        <v>0</v>
      </c>
      <c r="E3210" s="2">
        <v>0</v>
      </c>
      <c r="G3210" s="2">
        <v>0</v>
      </c>
      <c r="I3210" s="2">
        <v>0</v>
      </c>
      <c r="K3210" s="2">
        <v>0</v>
      </c>
      <c r="L3210" s="9"/>
      <c r="M3210" s="2">
        <v>0</v>
      </c>
      <c r="N3210" s="9"/>
      <c r="O3210" s="2">
        <v>0</v>
      </c>
      <c r="P3210" s="9"/>
      <c r="Q3210" s="2">
        <f t="shared" si="95"/>
        <v>0</v>
      </c>
    </row>
    <row r="3211" spans="1:22" ht="11.85" customHeight="1" x14ac:dyDescent="0.2">
      <c r="A3211" s="3" t="s">
        <v>1402</v>
      </c>
      <c r="C3211" s="12">
        <v>189996</v>
      </c>
      <c r="E3211" s="12">
        <v>200004</v>
      </c>
      <c r="G3211" s="12">
        <v>75000</v>
      </c>
      <c r="I3211" s="12">
        <v>30000</v>
      </c>
      <c r="K3211" s="12">
        <v>30000</v>
      </c>
      <c r="L3211" s="9"/>
      <c r="M3211" s="12">
        <v>90000</v>
      </c>
      <c r="N3211" s="9"/>
      <c r="O3211" s="12">
        <v>0</v>
      </c>
      <c r="P3211" s="9"/>
      <c r="Q3211" s="12">
        <f t="shared" si="95"/>
        <v>90000</v>
      </c>
      <c r="R3211" s="9"/>
    </row>
    <row r="3212" spans="1:22" ht="11.85" customHeight="1" x14ac:dyDescent="0.2">
      <c r="A3212" s="3" t="s">
        <v>336</v>
      </c>
      <c r="C3212" s="2">
        <f>SUM(C3206:C3211)</f>
        <v>575750.5</v>
      </c>
      <c r="E3212" s="2">
        <f>SUM(E3206:E3211)</f>
        <v>590882.74</v>
      </c>
      <c r="G3212" s="2">
        <f>SUM(G3206:G3211)</f>
        <v>549083.37</v>
      </c>
      <c r="I3212" s="2">
        <f>SUM(I3206:I3211)</f>
        <v>529060</v>
      </c>
      <c r="K3212" s="2">
        <f>SUM(K3206:K3211)</f>
        <v>711880</v>
      </c>
      <c r="L3212" s="9"/>
      <c r="M3212" s="2">
        <f>SUM(M3206:M3211)</f>
        <v>591060</v>
      </c>
      <c r="N3212" s="9"/>
      <c r="O3212" s="2">
        <f>SUM(O3206:O3211)</f>
        <v>0</v>
      </c>
      <c r="P3212" s="9"/>
      <c r="Q3212" s="2">
        <f>SUM(Q3206:Q3211)</f>
        <v>591060</v>
      </c>
    </row>
    <row r="3213" spans="1:22" ht="11.85" customHeight="1" x14ac:dyDescent="0.2">
      <c r="L3213" s="9"/>
      <c r="N3213" s="9"/>
      <c r="P3213" s="9"/>
      <c r="T3213" s="11"/>
    </row>
    <row r="3214" spans="1:22" ht="11.85" customHeight="1" x14ac:dyDescent="0.2">
      <c r="A3214" s="3" t="s">
        <v>1300</v>
      </c>
      <c r="C3214" s="2">
        <f>C3145+C3163+C3186+C3190+C3203+C3212</f>
        <v>1151704.3199999998</v>
      </c>
      <c r="E3214" s="2">
        <f>E3145+E3163+E3186+E3190+E3203+E3212</f>
        <v>1238990.1800000002</v>
      </c>
      <c r="G3214" s="2">
        <f>G3145+G3163+G3186+G3190+G3203+G3212</f>
        <v>1174450.3999999999</v>
      </c>
      <c r="I3214" s="2">
        <f>I3145+I3163+I3186+I3190+I3203+I3212</f>
        <v>1258962</v>
      </c>
      <c r="K3214" s="2">
        <f>K3145+K3163+K3186+K3190+K3203+K3212</f>
        <v>1477782</v>
      </c>
      <c r="L3214" s="9"/>
      <c r="M3214" s="2">
        <f>M3145+M3163+M3186+M3190+M3203+M3212</f>
        <v>1265278</v>
      </c>
      <c r="N3214" s="9"/>
      <c r="O3214" s="2">
        <f>O3145+O3163+O3186+O3190+O3203+O3212</f>
        <v>0</v>
      </c>
      <c r="P3214" s="9"/>
      <c r="Q3214" s="2">
        <f>Q3145+Q3163+Q3186+Q3190+Q3203+Q3212</f>
        <v>1265278</v>
      </c>
      <c r="R3214" s="9"/>
      <c r="U3214" s="13"/>
      <c r="V3214" s="9"/>
    </row>
    <row r="3215" spans="1:22" ht="11.85" customHeight="1" x14ac:dyDescent="0.2"/>
    <row r="3216" spans="1:22" ht="11.85" customHeight="1" x14ac:dyDescent="0.2"/>
    <row r="3217" ht="11.85" customHeight="1" x14ac:dyDescent="0.2"/>
    <row r="3218" ht="11.85" customHeight="1" x14ac:dyDescent="0.2"/>
    <row r="3219" ht="11.85" customHeight="1" x14ac:dyDescent="0.2"/>
    <row r="3220" ht="11.85" customHeight="1" x14ac:dyDescent="0.2"/>
    <row r="3221" ht="11.85" customHeight="1" x14ac:dyDescent="0.2"/>
    <row r="3222" ht="11.85" customHeight="1" x14ac:dyDescent="0.2"/>
    <row r="3223" ht="11.85" customHeight="1" x14ac:dyDescent="0.2"/>
    <row r="3224" ht="11.85" customHeight="1" x14ac:dyDescent="0.2"/>
    <row r="3225" ht="11.85" customHeight="1" x14ac:dyDescent="0.2"/>
    <row r="3226" ht="11.85" customHeight="1" x14ac:dyDescent="0.2"/>
    <row r="3227" ht="11.85" customHeight="1" x14ac:dyDescent="0.2"/>
    <row r="3228" ht="11.85" customHeight="1" x14ac:dyDescent="0.2"/>
    <row r="3229" ht="11.85" customHeight="1" x14ac:dyDescent="0.2"/>
    <row r="3230" ht="11.85" customHeight="1" x14ac:dyDescent="0.2"/>
    <row r="3231" ht="11.85" customHeight="1" x14ac:dyDescent="0.2"/>
    <row r="3232" ht="11.85" customHeight="1" x14ac:dyDescent="0.2"/>
    <row r="3233" ht="11.85" customHeight="1" x14ac:dyDescent="0.2"/>
    <row r="3234" ht="11.85" customHeight="1" x14ac:dyDescent="0.2"/>
    <row r="3235" ht="11.85" customHeight="1" x14ac:dyDescent="0.2"/>
    <row r="3236" ht="11.85" customHeight="1" x14ac:dyDescent="0.2"/>
    <row r="3237" ht="11.85" customHeight="1" x14ac:dyDescent="0.2"/>
    <row r="3238" ht="11.85" customHeight="1" x14ac:dyDescent="0.2"/>
    <row r="3239" ht="11.85" customHeight="1" x14ac:dyDescent="0.2"/>
    <row r="3240" ht="11.85" customHeight="1" x14ac:dyDescent="0.2"/>
    <row r="3241" ht="11.85" customHeight="1" x14ac:dyDescent="0.2"/>
    <row r="3242" ht="11.85" customHeight="1" x14ac:dyDescent="0.2"/>
    <row r="3243" ht="11.85" customHeight="1" x14ac:dyDescent="0.2"/>
    <row r="3244" ht="11.85" customHeight="1" x14ac:dyDescent="0.2"/>
    <row r="3245" ht="11.85" customHeight="1" x14ac:dyDescent="0.2"/>
    <row r="3246" ht="11.85" customHeight="1" x14ac:dyDescent="0.2"/>
    <row r="3247" ht="11.85" customHeight="1" x14ac:dyDescent="0.2"/>
    <row r="3248" ht="11.85" customHeight="1" x14ac:dyDescent="0.2"/>
    <row r="3249" spans="1:17" ht="11.85" customHeight="1" x14ac:dyDescent="0.2"/>
    <row r="3250" spans="1:17" ht="11.85" customHeight="1" x14ac:dyDescent="0.2"/>
    <row r="3251" spans="1:17" ht="11.85" customHeight="1" x14ac:dyDescent="0.2"/>
    <row r="3252" spans="1:17" ht="11.85" customHeight="1" x14ac:dyDescent="0.2"/>
    <row r="3253" spans="1:17" ht="11.85" customHeight="1" x14ac:dyDescent="0.2"/>
    <row r="3254" spans="1:17" ht="11.85" customHeight="1" x14ac:dyDescent="0.2"/>
    <row r="3255" spans="1:17" ht="11.85" customHeight="1" x14ac:dyDescent="0.2"/>
    <row r="3256" spans="1:17" ht="11.85" customHeight="1" x14ac:dyDescent="0.2">
      <c r="A3256" s="1"/>
      <c r="B3256" s="1"/>
      <c r="E3256" s="2" t="str">
        <f>$E$1</f>
        <v>CITY OF BRADY</v>
      </c>
    </row>
    <row r="3257" spans="1:17" ht="11.85" customHeight="1" x14ac:dyDescent="0.2">
      <c r="E3257" s="2" t="str">
        <f>$E$2</f>
        <v>BUDGET REPORT</v>
      </c>
    </row>
    <row r="3258" spans="1:17" ht="11.85" customHeight="1" x14ac:dyDescent="0.2">
      <c r="E3258" s="2" t="str">
        <f>$E$3</f>
        <v>FISCAL YEAR 2024 - 2025</v>
      </c>
    </row>
    <row r="3259" spans="1:17" ht="11.85" customHeight="1" x14ac:dyDescent="0.2">
      <c r="A3259" s="3" t="s">
        <v>1306</v>
      </c>
    </row>
    <row r="3260" spans="1:17" ht="11.85" customHeight="1" x14ac:dyDescent="0.2">
      <c r="A3260" s="3" t="s">
        <v>1403</v>
      </c>
    </row>
    <row r="3261" spans="1:17" ht="11.85" customHeight="1" x14ac:dyDescent="0.2">
      <c r="I3261" s="53" t="str">
        <f>$I$6</f>
        <v>(----- 2023-2024------)</v>
      </c>
      <c r="J3261" s="53"/>
      <c r="K3261" s="53"/>
      <c r="L3261" s="6"/>
      <c r="M3261" s="54" t="str">
        <f>$M$6</f>
        <v>2024-2025</v>
      </c>
      <c r="N3261" s="54"/>
      <c r="O3261" s="54"/>
      <c r="P3261" s="54"/>
      <c r="Q3261" s="54"/>
    </row>
    <row r="3262" spans="1:17" ht="11.85" customHeight="1" x14ac:dyDescent="0.2">
      <c r="C3262" s="5" t="str">
        <f>$C$7</f>
        <v>2020-2021</v>
      </c>
      <c r="D3262" s="5"/>
      <c r="E3262" s="5" t="str">
        <f>$E$7</f>
        <v>2021-2022</v>
      </c>
      <c r="F3262" s="5"/>
      <c r="G3262" s="5" t="str">
        <f>$G$7</f>
        <v>2022-2023</v>
      </c>
      <c r="H3262" s="5"/>
      <c r="I3262" s="5" t="s">
        <v>9</v>
      </c>
      <c r="J3262" s="5"/>
      <c r="K3262" s="5" t="str">
        <f>+$K$7</f>
        <v>PROJECTED</v>
      </c>
      <c r="L3262" s="6"/>
      <c r="M3262" s="5">
        <f>$M$7</f>
        <v>0</v>
      </c>
      <c r="N3262" s="6"/>
      <c r="O3262" s="5" t="str">
        <f>$O$7</f>
        <v>2024-2025</v>
      </c>
      <c r="P3262" s="6"/>
      <c r="Q3262" s="5" t="str">
        <f>$Q$7</f>
        <v>APPROVED</v>
      </c>
    </row>
    <row r="3263" spans="1:17" ht="11.85" customHeight="1" x14ac:dyDescent="0.2">
      <c r="A3263" s="7" t="s">
        <v>273</v>
      </c>
      <c r="C3263" s="8" t="s">
        <v>12</v>
      </c>
      <c r="D3263" s="5"/>
      <c r="E3263" s="8" t="s">
        <v>12</v>
      </c>
      <c r="F3263" s="5"/>
      <c r="G3263" s="8" t="s">
        <v>12</v>
      </c>
      <c r="H3263" s="5"/>
      <c r="I3263" s="8" t="s">
        <v>13</v>
      </c>
      <c r="J3263" s="5"/>
      <c r="K3263" s="8" t="s">
        <v>13</v>
      </c>
      <c r="L3263" s="6"/>
      <c r="M3263" s="8" t="str">
        <f>$M$8</f>
        <v>BASE</v>
      </c>
      <c r="N3263" s="6"/>
      <c r="O3263" s="8" t="str">
        <f>$O$8</f>
        <v>SUPPLEMENTAL</v>
      </c>
      <c r="P3263" s="6"/>
      <c r="Q3263" s="8" t="str">
        <f>$Q$8</f>
        <v>BUDGET</v>
      </c>
    </row>
    <row r="3264" spans="1:17" ht="11.85" customHeight="1" x14ac:dyDescent="0.2"/>
    <row r="3265" spans="1:22" ht="11.85" customHeight="1" x14ac:dyDescent="0.2">
      <c r="A3265" s="10" t="s">
        <v>286</v>
      </c>
      <c r="L3265" s="9"/>
      <c r="N3265" s="9"/>
      <c r="P3265" s="9"/>
    </row>
    <row r="3266" spans="1:22" ht="11.85" customHeight="1" x14ac:dyDescent="0.2">
      <c r="A3266" s="3" t="s">
        <v>1404</v>
      </c>
      <c r="C3266" s="2">
        <v>0</v>
      </c>
      <c r="E3266" s="2">
        <v>0</v>
      </c>
      <c r="G3266" s="2">
        <v>0</v>
      </c>
      <c r="I3266" s="2">
        <v>0</v>
      </c>
      <c r="K3266" s="2">
        <v>0</v>
      </c>
      <c r="L3266" s="9"/>
      <c r="M3266" s="2">
        <v>0</v>
      </c>
      <c r="N3266" s="9"/>
      <c r="O3266" s="2">
        <v>0</v>
      </c>
      <c r="P3266" s="9"/>
      <c r="Q3266" s="2">
        <f>M3266+O3266</f>
        <v>0</v>
      </c>
      <c r="T3266" s="11"/>
    </row>
    <row r="3267" spans="1:22" ht="11.85" customHeight="1" x14ac:dyDescent="0.2">
      <c r="A3267" s="3" t="s">
        <v>1405</v>
      </c>
      <c r="C3267" s="2">
        <v>0</v>
      </c>
      <c r="E3267" s="2">
        <v>0</v>
      </c>
      <c r="G3267" s="2">
        <v>0</v>
      </c>
      <c r="I3267" s="2">
        <v>0</v>
      </c>
      <c r="K3267" s="2">
        <v>0</v>
      </c>
      <c r="L3267" s="9"/>
      <c r="M3267" s="2">
        <v>0</v>
      </c>
      <c r="N3267" s="9"/>
      <c r="O3267" s="2">
        <v>0</v>
      </c>
      <c r="P3267" s="9"/>
      <c r="Q3267" s="2">
        <f>M3267+O3267</f>
        <v>0</v>
      </c>
      <c r="T3267" s="11"/>
    </row>
    <row r="3268" spans="1:22" ht="11.85" customHeight="1" x14ac:dyDescent="0.2">
      <c r="A3268" s="3" t="s">
        <v>1406</v>
      </c>
      <c r="C3268" s="2">
        <v>0</v>
      </c>
      <c r="E3268" s="2">
        <v>0</v>
      </c>
      <c r="G3268" s="2">
        <v>0</v>
      </c>
      <c r="I3268" s="2">
        <v>0</v>
      </c>
      <c r="K3268" s="2">
        <v>0</v>
      </c>
      <c r="L3268" s="9"/>
      <c r="M3268" s="2">
        <v>0</v>
      </c>
      <c r="N3268" s="9"/>
      <c r="O3268" s="2">
        <v>0</v>
      </c>
      <c r="P3268" s="9"/>
      <c r="Q3268" s="2">
        <f>M3268+O3268</f>
        <v>0</v>
      </c>
      <c r="T3268" s="11"/>
    </row>
    <row r="3269" spans="1:22" ht="11.85" customHeight="1" x14ac:dyDescent="0.2">
      <c r="A3269" s="3" t="s">
        <v>1407</v>
      </c>
      <c r="C3269" s="12">
        <v>0</v>
      </c>
      <c r="E3269" s="12">
        <v>0</v>
      </c>
      <c r="G3269" s="12">
        <v>0</v>
      </c>
      <c r="I3269" s="12">
        <v>0</v>
      </c>
      <c r="K3269" s="12">
        <v>0</v>
      </c>
      <c r="L3269" s="9"/>
      <c r="M3269" s="12">
        <v>0</v>
      </c>
      <c r="N3269" s="9"/>
      <c r="O3269" s="12">
        <v>0</v>
      </c>
      <c r="P3269" s="9"/>
      <c r="Q3269" s="12">
        <f>M3269+O3269</f>
        <v>0</v>
      </c>
      <c r="T3269" s="11"/>
      <c r="V3269" s="27"/>
    </row>
    <row r="3270" spans="1:22" ht="11.85" customHeight="1" x14ac:dyDescent="0.2">
      <c r="A3270" s="3" t="s">
        <v>304</v>
      </c>
      <c r="C3270" s="2">
        <f>SUM(C3266:C3269)</f>
        <v>0</v>
      </c>
      <c r="E3270" s="2">
        <f>SUM(E3266:E3269)</f>
        <v>0</v>
      </c>
      <c r="G3270" s="2">
        <f>SUM(G3266:G3269)</f>
        <v>0</v>
      </c>
      <c r="I3270" s="2">
        <f>SUM(I3266:I3269)</f>
        <v>0</v>
      </c>
      <c r="K3270" s="2">
        <f>SUM(K3266:K3269)</f>
        <v>0</v>
      </c>
      <c r="L3270" s="9"/>
      <c r="M3270" s="2">
        <f>SUM(M3266:M3269)</f>
        <v>0</v>
      </c>
      <c r="N3270" s="9"/>
      <c r="O3270" s="2">
        <f>SUM(O3266:O3269)</f>
        <v>0</v>
      </c>
      <c r="P3270" s="9"/>
      <c r="Q3270" s="2">
        <f>SUM(Q3266:Q3269)</f>
        <v>0</v>
      </c>
    </row>
    <row r="3271" spans="1:22" ht="11.85" customHeight="1" x14ac:dyDescent="0.2">
      <c r="L3271" s="9"/>
      <c r="N3271" s="9"/>
      <c r="P3271" s="9"/>
    </row>
    <row r="3272" spans="1:22" ht="11.85" customHeight="1" x14ac:dyDescent="0.2">
      <c r="A3272" s="10" t="s">
        <v>332</v>
      </c>
      <c r="L3272" s="9"/>
      <c r="N3272" s="9"/>
      <c r="P3272" s="9"/>
    </row>
    <row r="3273" spans="1:22" ht="11.85" customHeight="1" x14ac:dyDescent="0.2">
      <c r="A3273" s="3" t="s">
        <v>1408</v>
      </c>
      <c r="C3273" s="12">
        <v>0</v>
      </c>
      <c r="E3273" s="12">
        <v>0</v>
      </c>
      <c r="G3273" s="12">
        <v>0</v>
      </c>
      <c r="I3273" s="12">
        <v>0</v>
      </c>
      <c r="K3273" s="12">
        <v>0</v>
      </c>
      <c r="L3273" s="9"/>
      <c r="M3273" s="12">
        <v>0</v>
      </c>
      <c r="N3273" s="9"/>
      <c r="O3273" s="12">
        <v>0</v>
      </c>
      <c r="P3273" s="9"/>
      <c r="Q3273" s="12">
        <f>M3273+O3273</f>
        <v>0</v>
      </c>
    </row>
    <row r="3274" spans="1:22" ht="11.85" customHeight="1" x14ac:dyDescent="0.2">
      <c r="A3274" s="3" t="s">
        <v>336</v>
      </c>
      <c r="C3274" s="2">
        <f>SUM(C3273:C3273)</f>
        <v>0</v>
      </c>
      <c r="E3274" s="2">
        <f>SUM(E3273:E3273)</f>
        <v>0</v>
      </c>
      <c r="G3274" s="2">
        <f>SUM(G3273:G3273)</f>
        <v>0</v>
      </c>
      <c r="I3274" s="2">
        <f>SUM(I3273:I3273)</f>
        <v>0</v>
      </c>
      <c r="K3274" s="2">
        <f>SUM(K3273:K3273)</f>
        <v>0</v>
      </c>
      <c r="L3274" s="9"/>
      <c r="M3274" s="2">
        <f>SUM(M3273:M3273)</f>
        <v>0</v>
      </c>
      <c r="N3274" s="9"/>
      <c r="O3274" s="2">
        <f>SUM(O3273:O3273)</f>
        <v>0</v>
      </c>
      <c r="P3274" s="9"/>
      <c r="Q3274" s="2">
        <f>SUM(Q3273:Q3273)</f>
        <v>0</v>
      </c>
      <c r="V3274" s="38"/>
    </row>
    <row r="3275" spans="1:22" ht="11.85" customHeight="1" x14ac:dyDescent="0.2">
      <c r="L3275" s="9"/>
      <c r="N3275" s="9"/>
      <c r="P3275" s="9"/>
      <c r="T3275" s="11"/>
    </row>
    <row r="3276" spans="1:22" ht="11.85" customHeight="1" x14ac:dyDescent="0.2">
      <c r="A3276" s="3" t="s">
        <v>1409</v>
      </c>
      <c r="C3276" s="2">
        <f>+C3270+C3274</f>
        <v>0</v>
      </c>
      <c r="E3276" s="2">
        <f>+E3270+E3274</f>
        <v>0</v>
      </c>
      <c r="G3276" s="2">
        <f>+G3270+G3274</f>
        <v>0</v>
      </c>
      <c r="I3276" s="2">
        <f>+I3270+I3274</f>
        <v>0</v>
      </c>
      <c r="K3276" s="2">
        <f>+K3270+K3274</f>
        <v>0</v>
      </c>
      <c r="L3276" s="2"/>
      <c r="M3276" s="2">
        <f>+M3270+M3274</f>
        <v>0</v>
      </c>
      <c r="N3276" s="2"/>
      <c r="O3276" s="2">
        <f>+O3270+O3274</f>
        <v>0</v>
      </c>
      <c r="P3276" s="2"/>
      <c r="Q3276" s="2">
        <f>+Q3270+Q3274</f>
        <v>0</v>
      </c>
      <c r="R3276" s="9"/>
      <c r="U3276" s="13"/>
    </row>
    <row r="3277" spans="1:22" ht="11.85" customHeight="1" x14ac:dyDescent="0.2">
      <c r="L3277" s="9"/>
      <c r="N3277" s="9"/>
      <c r="P3277" s="9"/>
      <c r="T3277" s="11"/>
    </row>
    <row r="3278" spans="1:22" ht="11.85" customHeight="1" x14ac:dyDescent="0.2"/>
    <row r="3279" spans="1:22" ht="11.85" customHeight="1" x14ac:dyDescent="0.2"/>
    <row r="3280" spans="1:22" ht="11.85" customHeight="1" x14ac:dyDescent="0.2"/>
    <row r="3281" ht="11.85" customHeight="1" x14ac:dyDescent="0.2"/>
    <row r="3282" ht="11.85" customHeight="1" x14ac:dyDescent="0.2"/>
    <row r="3283" ht="11.85" customHeight="1" x14ac:dyDescent="0.2"/>
    <row r="3284" ht="11.85" customHeight="1" x14ac:dyDescent="0.2"/>
    <row r="3285" ht="11.85" customHeight="1" x14ac:dyDescent="0.2"/>
    <row r="3286" ht="11.85" customHeight="1" x14ac:dyDescent="0.2"/>
    <row r="3287" ht="11.85" customHeight="1" x14ac:dyDescent="0.2"/>
    <row r="3288" ht="11.85" customHeight="1" x14ac:dyDescent="0.2"/>
    <row r="3289" ht="11.85" customHeight="1" x14ac:dyDescent="0.2"/>
    <row r="3290" ht="11.85" customHeight="1" x14ac:dyDescent="0.2"/>
    <row r="3291" ht="11.85" customHeight="1" x14ac:dyDescent="0.2"/>
    <row r="3292" ht="11.85" customHeight="1" x14ac:dyDescent="0.2"/>
    <row r="3293" ht="11.85" customHeight="1" x14ac:dyDescent="0.2"/>
    <row r="3294" ht="11.85" customHeight="1" x14ac:dyDescent="0.2"/>
    <row r="3295" ht="11.85" customHeight="1" x14ac:dyDescent="0.2"/>
    <row r="3296" ht="11.85" customHeight="1" x14ac:dyDescent="0.2"/>
    <row r="3297" ht="11.85" customHeight="1" x14ac:dyDescent="0.2"/>
    <row r="3298" ht="11.85" customHeight="1" x14ac:dyDescent="0.2"/>
    <row r="3299" ht="11.85" customHeight="1" x14ac:dyDescent="0.2"/>
    <row r="3300" ht="11.85" customHeight="1" x14ac:dyDescent="0.2"/>
    <row r="3301" ht="11.85" customHeight="1" x14ac:dyDescent="0.2"/>
    <row r="3302" ht="11.85" customHeight="1" x14ac:dyDescent="0.2"/>
    <row r="3303" ht="11.85" customHeight="1" x14ac:dyDescent="0.2"/>
    <row r="3304" ht="11.85" customHeight="1" x14ac:dyDescent="0.2"/>
    <row r="3305" ht="11.85" customHeight="1" x14ac:dyDescent="0.2"/>
    <row r="3306" ht="11.85" customHeight="1" x14ac:dyDescent="0.2"/>
    <row r="3307" ht="11.85" customHeight="1" x14ac:dyDescent="0.2"/>
    <row r="3308" ht="11.85" customHeight="1" x14ac:dyDescent="0.2"/>
    <row r="3309" ht="11.85" customHeight="1" x14ac:dyDescent="0.2"/>
    <row r="3310" ht="11.85" customHeight="1" x14ac:dyDescent="0.2"/>
    <row r="3311" ht="11.85" customHeight="1" x14ac:dyDescent="0.2"/>
    <row r="3312" ht="11.85" customHeight="1" x14ac:dyDescent="0.2"/>
    <row r="3313" spans="1:17" ht="11.85" customHeight="1" x14ac:dyDescent="0.2"/>
    <row r="3314" spans="1:17" ht="11.85" customHeight="1" x14ac:dyDescent="0.2"/>
    <row r="3315" spans="1:17" ht="11.85" customHeight="1" x14ac:dyDescent="0.2"/>
    <row r="3316" spans="1:17" ht="11.85" customHeight="1" x14ac:dyDescent="0.2"/>
    <row r="3317" spans="1:17" ht="11.85" customHeight="1" x14ac:dyDescent="0.2"/>
    <row r="3318" spans="1:17" ht="11.85" customHeight="1" x14ac:dyDescent="0.2"/>
    <row r="3319" spans="1:17" ht="11.85" customHeight="1" x14ac:dyDescent="0.2"/>
    <row r="3320" spans="1:17" ht="11.85" customHeight="1" x14ac:dyDescent="0.2">
      <c r="A3320" s="1"/>
      <c r="B3320" s="1"/>
      <c r="E3320" s="2" t="str">
        <f>$E$1</f>
        <v>CITY OF BRADY</v>
      </c>
    </row>
    <row r="3321" spans="1:17" ht="11.85" customHeight="1" x14ac:dyDescent="0.2">
      <c r="E3321" s="2" t="str">
        <f>$E$2</f>
        <v>BUDGET REPORT</v>
      </c>
    </row>
    <row r="3322" spans="1:17" ht="11.85" customHeight="1" x14ac:dyDescent="0.2">
      <c r="E3322" s="2" t="str">
        <f>$E$3</f>
        <v>FISCAL YEAR 2024 - 2025</v>
      </c>
    </row>
    <row r="3323" spans="1:17" ht="11.85" customHeight="1" x14ac:dyDescent="0.2">
      <c r="A3323" s="3" t="s">
        <v>1306</v>
      </c>
    </row>
    <row r="3324" spans="1:17" ht="11.85" customHeight="1" x14ac:dyDescent="0.2">
      <c r="A3324" s="3" t="s">
        <v>1410</v>
      </c>
    </row>
    <row r="3325" spans="1:17" ht="11.85" customHeight="1" x14ac:dyDescent="0.2">
      <c r="I3325" s="53" t="str">
        <f>$I$6</f>
        <v>(----- 2023-2024------)</v>
      </c>
      <c r="J3325" s="53"/>
      <c r="K3325" s="53"/>
      <c r="L3325" s="6"/>
      <c r="M3325" s="54" t="str">
        <f>$M$6</f>
        <v>2024-2025</v>
      </c>
      <c r="N3325" s="54"/>
      <c r="O3325" s="54"/>
      <c r="P3325" s="54"/>
      <c r="Q3325" s="54"/>
    </row>
    <row r="3326" spans="1:17" ht="11.85" customHeight="1" x14ac:dyDescent="0.2">
      <c r="C3326" s="5" t="str">
        <f>$C$7</f>
        <v>2020-2021</v>
      </c>
      <c r="D3326" s="5"/>
      <c r="E3326" s="5" t="str">
        <f>$E$7</f>
        <v>2021-2022</v>
      </c>
      <c r="F3326" s="5"/>
      <c r="G3326" s="5" t="str">
        <f>$G$7</f>
        <v>2022-2023</v>
      </c>
      <c r="H3326" s="5"/>
      <c r="I3326" s="5" t="s">
        <v>9</v>
      </c>
      <c r="J3326" s="5"/>
      <c r="K3326" s="5" t="str">
        <f>+$K$7</f>
        <v>PROJECTED</v>
      </c>
      <c r="L3326" s="6"/>
      <c r="M3326" s="5">
        <f>$M$7</f>
        <v>0</v>
      </c>
      <c r="N3326" s="6"/>
      <c r="O3326" s="5" t="str">
        <f>$O$7</f>
        <v>2024-2025</v>
      </c>
      <c r="P3326" s="6"/>
      <c r="Q3326" s="5" t="str">
        <f>$Q$7</f>
        <v>APPROVED</v>
      </c>
    </row>
    <row r="3327" spans="1:17" ht="11.85" customHeight="1" x14ac:dyDescent="0.2">
      <c r="A3327" s="7" t="s">
        <v>273</v>
      </c>
      <c r="C3327" s="8" t="s">
        <v>12</v>
      </c>
      <c r="D3327" s="5"/>
      <c r="E3327" s="8" t="s">
        <v>12</v>
      </c>
      <c r="F3327" s="5"/>
      <c r="G3327" s="8" t="s">
        <v>12</v>
      </c>
      <c r="H3327" s="5"/>
      <c r="I3327" s="8" t="s">
        <v>13</v>
      </c>
      <c r="J3327" s="5"/>
      <c r="K3327" s="8" t="s">
        <v>13</v>
      </c>
      <c r="L3327" s="6"/>
      <c r="M3327" s="8" t="str">
        <f>$M$8</f>
        <v>BASE</v>
      </c>
      <c r="N3327" s="6"/>
      <c r="O3327" s="8" t="str">
        <f>$O$8</f>
        <v>SUPPLEMENTAL</v>
      </c>
      <c r="P3327" s="6"/>
      <c r="Q3327" s="8" t="str">
        <f>$Q$8</f>
        <v>BUDGET</v>
      </c>
    </row>
    <row r="3328" spans="1:17" ht="11.85" customHeight="1" x14ac:dyDescent="0.2"/>
    <row r="3329" spans="1:21" ht="11.85" customHeight="1" x14ac:dyDescent="0.2">
      <c r="A3329" s="10" t="s">
        <v>274</v>
      </c>
    </row>
    <row r="3330" spans="1:21" ht="11.85" customHeight="1" x14ac:dyDescent="0.2">
      <c r="A3330" s="3" t="s">
        <v>1411</v>
      </c>
      <c r="C3330" s="2">
        <v>109512</v>
      </c>
      <c r="E3330" s="2">
        <v>108695.93</v>
      </c>
      <c r="G3330" s="2">
        <v>111883.2</v>
      </c>
      <c r="I3330" s="2">
        <v>115240</v>
      </c>
      <c r="K3330" s="2">
        <v>115240</v>
      </c>
      <c r="L3330" s="9"/>
      <c r="M3330" s="2">
        <v>118698</v>
      </c>
      <c r="N3330" s="9"/>
      <c r="O3330" s="2">
        <v>0</v>
      </c>
      <c r="P3330" s="9"/>
      <c r="Q3330" s="2">
        <f t="shared" ref="Q3330:Q3338" si="96">M3330+O3330</f>
        <v>118698</v>
      </c>
      <c r="T3330" s="11"/>
    </row>
    <row r="3331" spans="1:21" ht="11.85" customHeight="1" x14ac:dyDescent="0.2">
      <c r="A3331" s="3" t="s">
        <v>1412</v>
      </c>
      <c r="C3331" s="2">
        <v>0</v>
      </c>
      <c r="E3331" s="2">
        <v>0</v>
      </c>
      <c r="G3331" s="2">
        <v>0</v>
      </c>
      <c r="I3331" s="2">
        <v>0</v>
      </c>
      <c r="K3331" s="2">
        <v>0</v>
      </c>
      <c r="L3331" s="9"/>
      <c r="M3331" s="2">
        <v>0</v>
      </c>
      <c r="N3331" s="9"/>
      <c r="O3331" s="2">
        <v>0</v>
      </c>
      <c r="P3331" s="9"/>
      <c r="Q3331" s="2">
        <f t="shared" si="96"/>
        <v>0</v>
      </c>
      <c r="T3331" s="11"/>
    </row>
    <row r="3332" spans="1:21" ht="11.85" customHeight="1" x14ac:dyDescent="0.2">
      <c r="A3332" s="3" t="s">
        <v>1413</v>
      </c>
      <c r="C3332" s="2">
        <v>0</v>
      </c>
      <c r="E3332" s="2">
        <v>0</v>
      </c>
      <c r="G3332" s="2">
        <v>0</v>
      </c>
      <c r="I3332" s="2">
        <v>0</v>
      </c>
      <c r="K3332" s="2">
        <v>0</v>
      </c>
      <c r="L3332" s="9"/>
      <c r="M3332" s="2">
        <v>0</v>
      </c>
      <c r="N3332" s="9"/>
      <c r="O3332" s="2">
        <v>0</v>
      </c>
      <c r="P3332" s="9"/>
      <c r="Q3332" s="2">
        <f t="shared" si="96"/>
        <v>0</v>
      </c>
      <c r="T3332" s="11"/>
    </row>
    <row r="3333" spans="1:21" ht="11.85" customHeight="1" x14ac:dyDescent="0.2">
      <c r="A3333" s="3" t="s">
        <v>1414</v>
      </c>
      <c r="C3333" s="2">
        <v>3000</v>
      </c>
      <c r="E3333" s="2">
        <v>1750</v>
      </c>
      <c r="G3333" s="2">
        <v>0</v>
      </c>
      <c r="I3333" s="2">
        <v>0</v>
      </c>
      <c r="K3333" s="2">
        <v>0</v>
      </c>
      <c r="L3333" s="9"/>
      <c r="M3333" s="2">
        <v>0</v>
      </c>
      <c r="N3333" s="9"/>
      <c r="O3333" s="2">
        <v>0</v>
      </c>
      <c r="P3333" s="9"/>
      <c r="Q3333" s="2">
        <f t="shared" si="96"/>
        <v>0</v>
      </c>
      <c r="T3333" s="11"/>
    </row>
    <row r="3334" spans="1:21" ht="11.85" customHeight="1" x14ac:dyDescent="0.2">
      <c r="A3334" s="3" t="s">
        <v>1415</v>
      </c>
      <c r="C3334" s="2">
        <v>11841.84</v>
      </c>
      <c r="E3334" s="2">
        <v>10794.48</v>
      </c>
      <c r="G3334" s="2">
        <v>10938.49</v>
      </c>
      <c r="I3334" s="2">
        <v>11460</v>
      </c>
      <c r="K3334" s="2">
        <v>11460</v>
      </c>
      <c r="L3334" s="9"/>
      <c r="M3334" s="2">
        <v>10141</v>
      </c>
      <c r="N3334" s="9"/>
      <c r="O3334" s="2">
        <v>0</v>
      </c>
      <c r="P3334" s="9"/>
      <c r="Q3334" s="2">
        <f t="shared" si="96"/>
        <v>10141</v>
      </c>
      <c r="T3334" s="11"/>
    </row>
    <row r="3335" spans="1:21" ht="11.85" customHeight="1" x14ac:dyDescent="0.2">
      <c r="A3335" s="3" t="s">
        <v>1416</v>
      </c>
      <c r="C3335" s="2">
        <v>11193.52</v>
      </c>
      <c r="E3335" s="2">
        <v>10688.03</v>
      </c>
      <c r="G3335" s="2">
        <v>10950.52</v>
      </c>
      <c r="I3335" s="2">
        <v>11475</v>
      </c>
      <c r="K3335" s="2">
        <v>11475</v>
      </c>
      <c r="L3335" s="9"/>
      <c r="M3335" s="2">
        <v>11529</v>
      </c>
      <c r="N3335" s="9"/>
      <c r="O3335" s="2">
        <v>0</v>
      </c>
      <c r="P3335" s="9"/>
      <c r="Q3335" s="2">
        <f t="shared" si="96"/>
        <v>11529</v>
      </c>
      <c r="T3335" s="11"/>
    </row>
    <row r="3336" spans="1:21" ht="11.85" customHeight="1" x14ac:dyDescent="0.2">
      <c r="A3336" s="3" t="s">
        <v>1417</v>
      </c>
      <c r="C3336" s="2">
        <v>266.02999999999997</v>
      </c>
      <c r="E3336" s="2">
        <v>286.73</v>
      </c>
      <c r="G3336" s="2">
        <v>305.05</v>
      </c>
      <c r="I3336" s="2">
        <v>354</v>
      </c>
      <c r="K3336" s="2">
        <v>354</v>
      </c>
      <c r="L3336" s="9"/>
      <c r="M3336" s="2">
        <v>225</v>
      </c>
      <c r="N3336" s="9"/>
      <c r="O3336" s="2">
        <v>0</v>
      </c>
      <c r="P3336" s="9"/>
      <c r="Q3336" s="2">
        <f t="shared" si="96"/>
        <v>225</v>
      </c>
      <c r="T3336" s="11"/>
    </row>
    <row r="3337" spans="1:21" ht="11.85" customHeight="1" x14ac:dyDescent="0.2">
      <c r="A3337" s="3" t="s">
        <v>1418</v>
      </c>
      <c r="C3337" s="2">
        <v>252</v>
      </c>
      <c r="E3337" s="2">
        <v>9</v>
      </c>
      <c r="G3337" s="2">
        <v>9</v>
      </c>
      <c r="I3337" s="2">
        <v>84</v>
      </c>
      <c r="K3337" s="2">
        <v>84</v>
      </c>
      <c r="L3337" s="9"/>
      <c r="M3337" s="2">
        <v>90</v>
      </c>
      <c r="N3337" s="9"/>
      <c r="O3337" s="2">
        <v>0</v>
      </c>
      <c r="P3337" s="9"/>
      <c r="Q3337" s="2">
        <f t="shared" si="96"/>
        <v>90</v>
      </c>
      <c r="T3337" s="11"/>
    </row>
    <row r="3338" spans="1:21" ht="11.85" customHeight="1" x14ac:dyDescent="0.2">
      <c r="A3338" s="3" t="s">
        <v>1419</v>
      </c>
      <c r="C3338" s="12">
        <v>8296.84</v>
      </c>
      <c r="E3338" s="12">
        <v>8812.9599999999991</v>
      </c>
      <c r="G3338" s="12">
        <v>8570.9599999999991</v>
      </c>
      <c r="I3338" s="12">
        <v>8989</v>
      </c>
      <c r="K3338" s="12">
        <v>8989</v>
      </c>
      <c r="L3338" s="9"/>
      <c r="M3338" s="12">
        <v>9258</v>
      </c>
      <c r="N3338" s="9"/>
      <c r="O3338" s="12">
        <v>0</v>
      </c>
      <c r="P3338" s="9"/>
      <c r="Q3338" s="12">
        <f t="shared" si="96"/>
        <v>9258</v>
      </c>
      <c r="T3338" s="11"/>
    </row>
    <row r="3339" spans="1:21" ht="11.85" customHeight="1" x14ac:dyDescent="0.2">
      <c r="A3339" s="3" t="s">
        <v>285</v>
      </c>
      <c r="C3339" s="2">
        <f>SUM(C3330:C3338)</f>
        <v>144362.22999999998</v>
      </c>
      <c r="E3339" s="2">
        <f>SUM(E3330:E3338)</f>
        <v>141037.13</v>
      </c>
      <c r="G3339" s="2">
        <f>SUM(G3330:G3338)</f>
        <v>142657.21999999997</v>
      </c>
      <c r="I3339" s="2">
        <f>SUM(I3330:I3338)</f>
        <v>147602</v>
      </c>
      <c r="K3339" s="2">
        <f>SUM(K3330:K3338)</f>
        <v>147602</v>
      </c>
      <c r="L3339" s="9"/>
      <c r="M3339" s="2">
        <f>SUM(M3330:M3338)</f>
        <v>149941</v>
      </c>
      <c r="N3339" s="9"/>
      <c r="O3339" s="2">
        <f>SUM(O3330:O3338)</f>
        <v>0</v>
      </c>
      <c r="P3339" s="9"/>
      <c r="Q3339" s="2">
        <f>SUM(Q3330:Q3338)</f>
        <v>149941</v>
      </c>
      <c r="R3339" s="9"/>
      <c r="U3339" s="9"/>
    </row>
    <row r="3340" spans="1:21" ht="11.85" customHeight="1" x14ac:dyDescent="0.2">
      <c r="L3340" s="9"/>
      <c r="N3340" s="9"/>
      <c r="P3340" s="9"/>
    </row>
    <row r="3341" spans="1:21" ht="11.85" customHeight="1" x14ac:dyDescent="0.2">
      <c r="A3341" s="10" t="s">
        <v>286</v>
      </c>
      <c r="L3341" s="9"/>
      <c r="N3341" s="9"/>
      <c r="P3341" s="9"/>
    </row>
    <row r="3342" spans="1:21" ht="11.85" customHeight="1" x14ac:dyDescent="0.2">
      <c r="A3342" s="3" t="s">
        <v>1420</v>
      </c>
      <c r="C3342" s="2">
        <v>503.98</v>
      </c>
      <c r="E3342" s="2">
        <v>234.6</v>
      </c>
      <c r="G3342" s="2">
        <v>428.84</v>
      </c>
      <c r="I3342" s="2">
        <v>700</v>
      </c>
      <c r="K3342" s="2">
        <v>700</v>
      </c>
      <c r="L3342" s="9"/>
      <c r="M3342" s="2">
        <v>600</v>
      </c>
      <c r="N3342" s="9"/>
      <c r="O3342" s="2">
        <v>0</v>
      </c>
      <c r="P3342" s="9"/>
      <c r="Q3342" s="2">
        <f>M3342+O3342</f>
        <v>600</v>
      </c>
      <c r="T3342" s="11"/>
    </row>
    <row r="3343" spans="1:21" ht="11.85" customHeight="1" x14ac:dyDescent="0.2">
      <c r="A3343" s="3" t="s">
        <v>1421</v>
      </c>
      <c r="C3343" s="12">
        <v>0</v>
      </c>
      <c r="E3343" s="12">
        <v>0</v>
      </c>
      <c r="G3343" s="12">
        <v>0</v>
      </c>
      <c r="I3343" s="12">
        <v>1600</v>
      </c>
      <c r="K3343" s="12">
        <v>1600</v>
      </c>
      <c r="L3343" s="9"/>
      <c r="M3343" s="12">
        <v>0</v>
      </c>
      <c r="N3343" s="9"/>
      <c r="O3343" s="12">
        <v>0</v>
      </c>
      <c r="P3343" s="9"/>
      <c r="Q3343" s="12">
        <f>M3343+O3343</f>
        <v>0</v>
      </c>
      <c r="T3343" s="11"/>
    </row>
    <row r="3344" spans="1:21" ht="11.85" customHeight="1" x14ac:dyDescent="0.2">
      <c r="A3344" s="3" t="s">
        <v>304</v>
      </c>
      <c r="C3344" s="2">
        <f>SUM(C3342:C3343)</f>
        <v>503.98</v>
      </c>
      <c r="E3344" s="2">
        <f>SUM(E3342:E3343)</f>
        <v>234.6</v>
      </c>
      <c r="G3344" s="2">
        <f>SUM(G3342:G3343)</f>
        <v>428.84</v>
      </c>
      <c r="I3344" s="2">
        <f>SUM(I3342:I3343)</f>
        <v>2300</v>
      </c>
      <c r="K3344" s="2">
        <f>SUM(K3342:K3343)</f>
        <v>2300</v>
      </c>
      <c r="L3344" s="9"/>
      <c r="M3344" s="2">
        <f>SUM(M3342:M3343)</f>
        <v>600</v>
      </c>
      <c r="N3344" s="9"/>
      <c r="O3344" s="2">
        <f>SUM(O3342:O3343)</f>
        <v>0</v>
      </c>
      <c r="P3344" s="9"/>
      <c r="Q3344" s="2">
        <f>SUM(Q3342:Q3343)</f>
        <v>600</v>
      </c>
      <c r="T3344" s="14"/>
    </row>
    <row r="3345" spans="1:20" ht="11.85" customHeight="1" x14ac:dyDescent="0.2">
      <c r="L3345" s="9"/>
      <c r="N3345" s="9"/>
      <c r="P3345" s="9"/>
    </row>
    <row r="3346" spans="1:20" ht="11.85" customHeight="1" x14ac:dyDescent="0.2">
      <c r="A3346" s="10" t="s">
        <v>305</v>
      </c>
      <c r="L3346" s="9"/>
      <c r="N3346" s="9"/>
      <c r="P3346" s="9"/>
    </row>
    <row r="3347" spans="1:20" ht="11.85" customHeight="1" x14ac:dyDescent="0.2">
      <c r="A3347" s="3" t="s">
        <v>1422</v>
      </c>
      <c r="C3347" s="2">
        <v>223.9</v>
      </c>
      <c r="E3347" s="2">
        <v>0</v>
      </c>
      <c r="G3347" s="2">
        <v>243.02</v>
      </c>
      <c r="I3347" s="2">
        <v>300</v>
      </c>
      <c r="K3347" s="2">
        <v>300</v>
      </c>
      <c r="L3347" s="9"/>
      <c r="M3347" s="2">
        <v>300</v>
      </c>
      <c r="N3347" s="9"/>
      <c r="O3347" s="2">
        <v>0</v>
      </c>
      <c r="P3347" s="9"/>
      <c r="Q3347" s="2">
        <f t="shared" ref="Q3347:Q3354" si="97">M3347+O3347</f>
        <v>300</v>
      </c>
      <c r="T3347" s="11"/>
    </row>
    <row r="3348" spans="1:20" ht="11.85" customHeight="1" x14ac:dyDescent="0.2">
      <c r="A3348" s="3" t="s">
        <v>1423</v>
      </c>
      <c r="C3348" s="2">
        <v>888.96</v>
      </c>
      <c r="E3348" s="2">
        <v>1049</v>
      </c>
      <c r="G3348" s="2">
        <v>308</v>
      </c>
      <c r="I3348" s="2">
        <v>1500</v>
      </c>
      <c r="K3348" s="2">
        <v>1500</v>
      </c>
      <c r="L3348" s="9"/>
      <c r="M3348" s="2">
        <v>1200</v>
      </c>
      <c r="N3348" s="9"/>
      <c r="O3348" s="2">
        <v>0</v>
      </c>
      <c r="P3348" s="9"/>
      <c r="Q3348" s="2">
        <f t="shared" si="97"/>
        <v>1200</v>
      </c>
      <c r="T3348" s="11"/>
    </row>
    <row r="3349" spans="1:20" ht="11.85" customHeight="1" x14ac:dyDescent="0.2">
      <c r="A3349" s="3" t="s">
        <v>1424</v>
      </c>
      <c r="C3349" s="2">
        <v>199.31</v>
      </c>
      <c r="E3349" s="2">
        <v>148</v>
      </c>
      <c r="G3349" s="2">
        <v>17.36</v>
      </c>
      <c r="I3349" s="2">
        <v>300</v>
      </c>
      <c r="K3349" s="2">
        <v>300</v>
      </c>
      <c r="L3349" s="9"/>
      <c r="M3349" s="2">
        <v>300</v>
      </c>
      <c r="N3349" s="9"/>
      <c r="O3349" s="2">
        <v>0</v>
      </c>
      <c r="P3349" s="9"/>
      <c r="Q3349" s="2">
        <f t="shared" si="97"/>
        <v>300</v>
      </c>
      <c r="T3349" s="11"/>
    </row>
    <row r="3350" spans="1:20" ht="11.85" customHeight="1" x14ac:dyDescent="0.2">
      <c r="A3350" s="3" t="s">
        <v>1425</v>
      </c>
      <c r="C3350" s="2">
        <v>0</v>
      </c>
      <c r="E3350" s="2">
        <v>0</v>
      </c>
      <c r="G3350" s="2">
        <v>0</v>
      </c>
      <c r="I3350" s="2">
        <v>0</v>
      </c>
      <c r="K3350" s="2">
        <v>0</v>
      </c>
      <c r="L3350" s="9"/>
      <c r="M3350" s="2">
        <v>0</v>
      </c>
      <c r="N3350" s="9"/>
      <c r="O3350" s="2">
        <v>0</v>
      </c>
      <c r="P3350" s="9"/>
      <c r="Q3350" s="2">
        <f t="shared" si="97"/>
        <v>0</v>
      </c>
      <c r="T3350" s="11"/>
    </row>
    <row r="3351" spans="1:20" ht="11.85" customHeight="1" x14ac:dyDescent="0.2">
      <c r="A3351" s="3" t="s">
        <v>1426</v>
      </c>
      <c r="C3351" s="2">
        <v>0</v>
      </c>
      <c r="E3351" s="2">
        <v>0</v>
      </c>
      <c r="G3351" s="2">
        <v>20</v>
      </c>
      <c r="I3351" s="2">
        <v>0</v>
      </c>
      <c r="K3351" s="2">
        <v>0</v>
      </c>
      <c r="L3351" s="9"/>
      <c r="M3351" s="2">
        <v>0</v>
      </c>
      <c r="N3351" s="9"/>
      <c r="O3351" s="2">
        <v>0</v>
      </c>
      <c r="P3351" s="9"/>
      <c r="Q3351" s="2">
        <f t="shared" si="97"/>
        <v>0</v>
      </c>
      <c r="T3351" s="11"/>
    </row>
    <row r="3352" spans="1:20" ht="11.85" customHeight="1" x14ac:dyDescent="0.2">
      <c r="A3352" s="3" t="s">
        <v>1427</v>
      </c>
      <c r="C3352" s="2">
        <v>189.99</v>
      </c>
      <c r="E3352" s="2">
        <v>164.47</v>
      </c>
      <c r="G3352" s="2">
        <v>145.97999999999999</v>
      </c>
      <c r="I3352" s="2">
        <v>300</v>
      </c>
      <c r="K3352" s="2">
        <v>300</v>
      </c>
      <c r="L3352" s="9"/>
      <c r="M3352" s="2">
        <v>300</v>
      </c>
      <c r="N3352" s="9"/>
      <c r="O3352" s="2">
        <v>0</v>
      </c>
      <c r="P3352" s="9"/>
      <c r="Q3352" s="2">
        <f t="shared" si="97"/>
        <v>300</v>
      </c>
      <c r="T3352" s="11"/>
    </row>
    <row r="3353" spans="1:20" ht="11.85" customHeight="1" x14ac:dyDescent="0.2">
      <c r="A3353" s="3" t="s">
        <v>1428</v>
      </c>
      <c r="C3353" s="2">
        <v>357</v>
      </c>
      <c r="E3353" s="2">
        <v>1031.5</v>
      </c>
      <c r="G3353" s="2">
        <v>908</v>
      </c>
      <c r="I3353" s="2">
        <v>900</v>
      </c>
      <c r="K3353" s="2">
        <v>900</v>
      </c>
      <c r="L3353" s="9"/>
      <c r="M3353" s="2">
        <v>900</v>
      </c>
      <c r="N3353" s="9"/>
      <c r="O3353" s="2">
        <v>0</v>
      </c>
      <c r="P3353" s="9"/>
      <c r="Q3353" s="2">
        <f t="shared" si="97"/>
        <v>900</v>
      </c>
      <c r="T3353" s="11"/>
    </row>
    <row r="3354" spans="1:20" ht="11.85" customHeight="1" x14ac:dyDescent="0.2">
      <c r="A3354" s="3" t="s">
        <v>1429</v>
      </c>
      <c r="C3354" s="12">
        <v>0</v>
      </c>
      <c r="E3354" s="12">
        <v>0</v>
      </c>
      <c r="G3354" s="12">
        <v>0</v>
      </c>
      <c r="I3354" s="12">
        <v>110</v>
      </c>
      <c r="K3354" s="12">
        <v>110</v>
      </c>
      <c r="L3354" s="9"/>
      <c r="M3354" s="12">
        <v>110</v>
      </c>
      <c r="N3354" s="9"/>
      <c r="O3354" s="12">
        <v>0</v>
      </c>
      <c r="P3354" s="9"/>
      <c r="Q3354" s="12">
        <f t="shared" si="97"/>
        <v>110</v>
      </c>
      <c r="T3354" s="11"/>
    </row>
    <row r="3355" spans="1:20" ht="11.85" customHeight="1" x14ac:dyDescent="0.2">
      <c r="A3355" s="3" t="s">
        <v>328</v>
      </c>
      <c r="C3355" s="2">
        <f>SUM(C3347:C3354)</f>
        <v>1859.16</v>
      </c>
      <c r="E3355" s="2">
        <f>SUM(E3347:E3354)</f>
        <v>2392.9700000000003</v>
      </c>
      <c r="G3355" s="2">
        <f>SUM(G3347:G3354)</f>
        <v>1642.3600000000001</v>
      </c>
      <c r="I3355" s="2">
        <f>SUM(I3347:I3354)</f>
        <v>3410</v>
      </c>
      <c r="K3355" s="2">
        <f>SUM(K3347:K3354)</f>
        <v>3410</v>
      </c>
      <c r="L3355" s="9"/>
      <c r="M3355" s="2">
        <f>SUM(M3347:M3354)</f>
        <v>3110</v>
      </c>
      <c r="N3355" s="9"/>
      <c r="O3355" s="2">
        <f>SUM(O3347:O3354)</f>
        <v>0</v>
      </c>
      <c r="P3355" s="9"/>
      <c r="Q3355" s="2">
        <f>SUM(Q3347:Q3354)</f>
        <v>3110</v>
      </c>
      <c r="T3355" s="14"/>
    </row>
    <row r="3356" spans="1:20" ht="11.85" customHeight="1" x14ac:dyDescent="0.2">
      <c r="L3356" s="9"/>
      <c r="N3356" s="9"/>
      <c r="P3356" s="9"/>
    </row>
    <row r="3357" spans="1:20" ht="11.85" customHeight="1" x14ac:dyDescent="0.2">
      <c r="A3357" s="3" t="s">
        <v>1430</v>
      </c>
      <c r="C3357" s="2">
        <f>C3339+C3344+C3355</f>
        <v>146725.37</v>
      </c>
      <c r="E3357" s="2">
        <f>E3339+E3344+E3355</f>
        <v>143664.70000000001</v>
      </c>
      <c r="G3357" s="2">
        <f>G3339+G3344+G3355</f>
        <v>144728.41999999995</v>
      </c>
      <c r="I3357" s="2">
        <f>I3339+I3344+I3355</f>
        <v>153312</v>
      </c>
      <c r="K3357" s="2">
        <f>K3339+K3344+K3355</f>
        <v>153312</v>
      </c>
      <c r="L3357" s="9"/>
      <c r="M3357" s="2">
        <f>M3339+M3344+M3355</f>
        <v>153651</v>
      </c>
      <c r="N3357" s="9"/>
      <c r="O3357" s="2">
        <f>O3339+O3344+O3355</f>
        <v>0</v>
      </c>
      <c r="P3357" s="9"/>
      <c r="Q3357" s="2">
        <f>Q3339+Q3344+Q3355</f>
        <v>153651</v>
      </c>
      <c r="R3357" s="9"/>
      <c r="T3357" s="11"/>
    </row>
    <row r="3358" spans="1:20" ht="11.85" customHeight="1" x14ac:dyDescent="0.2"/>
    <row r="3359" spans="1:20" ht="11.85" customHeight="1" x14ac:dyDescent="0.2"/>
    <row r="3360" spans="1:20" ht="11.85" customHeight="1" x14ac:dyDescent="0.2"/>
    <row r="3361" ht="11.85" customHeight="1" x14ac:dyDescent="0.2"/>
    <row r="3362" ht="11.85" customHeight="1" x14ac:dyDescent="0.2"/>
    <row r="3363" ht="11.85" customHeight="1" x14ac:dyDescent="0.2"/>
    <row r="3364" ht="11.85" customHeight="1" x14ac:dyDescent="0.2"/>
    <row r="3365" ht="11.85" customHeight="1" x14ac:dyDescent="0.2"/>
    <row r="3366" ht="11.85" customHeight="1" x14ac:dyDescent="0.2"/>
    <row r="3367" ht="11.85" customHeight="1" x14ac:dyDescent="0.2"/>
    <row r="3368" ht="11.85" customHeight="1" x14ac:dyDescent="0.2"/>
    <row r="3369" ht="11.85" customHeight="1" x14ac:dyDescent="0.2"/>
    <row r="3370" ht="11.85" customHeight="1" x14ac:dyDescent="0.2"/>
    <row r="3371" ht="11.85" customHeight="1" x14ac:dyDescent="0.2"/>
    <row r="3372" ht="11.85" customHeight="1" x14ac:dyDescent="0.2"/>
    <row r="3373" ht="11.85" customHeight="1" x14ac:dyDescent="0.2"/>
    <row r="3374" ht="11.85" customHeight="1" x14ac:dyDescent="0.2"/>
    <row r="3375" ht="11.85" customHeight="1" x14ac:dyDescent="0.2"/>
    <row r="3376" ht="11.85" customHeight="1" x14ac:dyDescent="0.2"/>
    <row r="3377" spans="1:19" ht="11.85" customHeight="1" x14ac:dyDescent="0.2"/>
    <row r="3378" spans="1:19" ht="11.85" customHeight="1" x14ac:dyDescent="0.2"/>
    <row r="3379" spans="1:19" ht="11.85" customHeight="1" x14ac:dyDescent="0.2"/>
    <row r="3380" spans="1:19" ht="11.85" customHeight="1" x14ac:dyDescent="0.2"/>
    <row r="3381" spans="1:19" ht="11.85" customHeight="1" x14ac:dyDescent="0.2"/>
    <row r="3382" spans="1:19" ht="11.85" customHeight="1" x14ac:dyDescent="0.2"/>
    <row r="3383" spans="1:19" ht="11.85" customHeight="1" x14ac:dyDescent="0.2"/>
    <row r="3384" spans="1:19" ht="11.85" customHeight="1" x14ac:dyDescent="0.2"/>
    <row r="3385" spans="1:19" ht="11.85" customHeight="1" x14ac:dyDescent="0.2">
      <c r="A3385" s="1"/>
      <c r="B3385" s="1"/>
      <c r="E3385" s="2" t="str">
        <f>$E$1</f>
        <v>CITY OF BRADY</v>
      </c>
    </row>
    <row r="3386" spans="1:19" ht="11.85" customHeight="1" x14ac:dyDescent="0.2">
      <c r="E3386" s="2" t="str">
        <f>$E$2</f>
        <v>BUDGET REPORT</v>
      </c>
    </row>
    <row r="3387" spans="1:19" ht="11.85" customHeight="1" x14ac:dyDescent="0.2">
      <c r="E3387" s="2" t="str">
        <f>$E$3</f>
        <v>FISCAL YEAR 2024 - 2025</v>
      </c>
    </row>
    <row r="3388" spans="1:19" ht="11.85" customHeight="1" x14ac:dyDescent="0.2">
      <c r="A3388" s="3" t="s">
        <v>1306</v>
      </c>
      <c r="S3388" s="18"/>
    </row>
    <row r="3389" spans="1:19" ht="11.85" customHeight="1" x14ac:dyDescent="0.2">
      <c r="A3389" s="3" t="s">
        <v>1431</v>
      </c>
    </row>
    <row r="3390" spans="1:19" ht="11.85" customHeight="1" x14ac:dyDescent="0.2">
      <c r="I3390" s="53" t="str">
        <f>$I$6</f>
        <v>(----- 2023-2024------)</v>
      </c>
      <c r="J3390" s="53"/>
      <c r="K3390" s="53"/>
      <c r="L3390" s="6"/>
      <c r="M3390" s="54" t="str">
        <f>$M$6</f>
        <v>2024-2025</v>
      </c>
      <c r="N3390" s="54"/>
      <c r="O3390" s="54"/>
      <c r="P3390" s="54"/>
      <c r="Q3390" s="54"/>
    </row>
    <row r="3391" spans="1:19" ht="11.85" customHeight="1" x14ac:dyDescent="0.2">
      <c r="C3391" s="5" t="str">
        <f>$C$7</f>
        <v>2020-2021</v>
      </c>
      <c r="D3391" s="5"/>
      <c r="E3391" s="5" t="str">
        <f>$E$7</f>
        <v>2021-2022</v>
      </c>
      <c r="F3391" s="5"/>
      <c r="G3391" s="5" t="str">
        <f>$G$7</f>
        <v>2022-2023</v>
      </c>
      <c r="H3391" s="5"/>
      <c r="I3391" s="5" t="s">
        <v>9</v>
      </c>
      <c r="J3391" s="5"/>
      <c r="K3391" s="5" t="str">
        <f>+$K$7</f>
        <v>PROJECTED</v>
      </c>
      <c r="L3391" s="6"/>
      <c r="M3391" s="5">
        <f>$M$7</f>
        <v>0</v>
      </c>
      <c r="N3391" s="6"/>
      <c r="O3391" s="5" t="str">
        <f>$O$7</f>
        <v>2024-2025</v>
      </c>
      <c r="P3391" s="6"/>
      <c r="Q3391" s="5" t="str">
        <f>$Q$7</f>
        <v>APPROVED</v>
      </c>
    </row>
    <row r="3392" spans="1:19" ht="11.85" customHeight="1" x14ac:dyDescent="0.2">
      <c r="A3392" s="7" t="s">
        <v>273</v>
      </c>
      <c r="C3392" s="8" t="s">
        <v>12</v>
      </c>
      <c r="D3392" s="5"/>
      <c r="E3392" s="8" t="s">
        <v>12</v>
      </c>
      <c r="F3392" s="5"/>
      <c r="G3392" s="8" t="s">
        <v>12</v>
      </c>
      <c r="H3392" s="5"/>
      <c r="I3392" s="8" t="s">
        <v>13</v>
      </c>
      <c r="J3392" s="5"/>
      <c r="K3392" s="8" t="s">
        <v>13</v>
      </c>
      <c r="L3392" s="6"/>
      <c r="M3392" s="8" t="str">
        <f>$M$8</f>
        <v>BASE</v>
      </c>
      <c r="N3392" s="6"/>
      <c r="O3392" s="8" t="str">
        <f>$O$8</f>
        <v>SUPPLEMENTAL</v>
      </c>
      <c r="P3392" s="6"/>
      <c r="Q3392" s="8" t="str">
        <f>$Q$8</f>
        <v>BUDGET</v>
      </c>
    </row>
    <row r="3393" spans="1:21" ht="11.85" customHeight="1" x14ac:dyDescent="0.2"/>
    <row r="3394" spans="1:21" ht="11.85" customHeight="1" x14ac:dyDescent="0.2">
      <c r="A3394" s="10" t="s">
        <v>274</v>
      </c>
    </row>
    <row r="3395" spans="1:21" ht="11.85" customHeight="1" x14ac:dyDescent="0.2">
      <c r="A3395" s="3" t="s">
        <v>1432</v>
      </c>
      <c r="C3395" s="2">
        <v>192431.89</v>
      </c>
      <c r="E3395" s="2">
        <v>239619.96</v>
      </c>
      <c r="G3395" s="2">
        <v>174868.17</v>
      </c>
      <c r="I3395" s="2">
        <v>230939</v>
      </c>
      <c r="K3395" s="2">
        <f>230939-19300</f>
        <v>211639</v>
      </c>
      <c r="L3395" s="9"/>
      <c r="M3395" s="2">
        <v>219989</v>
      </c>
      <c r="N3395" s="9"/>
      <c r="O3395" s="2">
        <v>0</v>
      </c>
      <c r="P3395" s="9"/>
      <c r="Q3395" s="2">
        <f t="shared" ref="Q3395:Q3404" si="98">M3395+O3395</f>
        <v>219989</v>
      </c>
      <c r="T3395" s="11"/>
    </row>
    <row r="3396" spans="1:21" ht="11.85" customHeight="1" x14ac:dyDescent="0.2">
      <c r="A3396" s="3" t="s">
        <v>1433</v>
      </c>
      <c r="C3396" s="2">
        <v>7501.97</v>
      </c>
      <c r="E3396" s="2">
        <v>6754.98</v>
      </c>
      <c r="G3396" s="2">
        <v>8412.8799999999992</v>
      </c>
      <c r="I3396" s="2">
        <v>8500</v>
      </c>
      <c r="K3396" s="2">
        <v>8500</v>
      </c>
      <c r="L3396" s="9"/>
      <c r="M3396" s="2">
        <v>8500</v>
      </c>
      <c r="N3396" s="9"/>
      <c r="O3396" s="2">
        <v>0</v>
      </c>
      <c r="P3396" s="9"/>
      <c r="Q3396" s="2">
        <f t="shared" si="98"/>
        <v>8500</v>
      </c>
      <c r="T3396" s="11"/>
    </row>
    <row r="3397" spans="1:21" ht="11.85" customHeight="1" x14ac:dyDescent="0.2">
      <c r="A3397" s="3" t="s">
        <v>1434</v>
      </c>
      <c r="C3397" s="2">
        <v>1900</v>
      </c>
      <c r="E3397" s="2">
        <v>3925</v>
      </c>
      <c r="G3397" s="2">
        <v>1662.5</v>
      </c>
      <c r="I3397" s="2">
        <v>1800</v>
      </c>
      <c r="K3397" s="2">
        <v>1800</v>
      </c>
      <c r="L3397" s="9"/>
      <c r="M3397" s="2">
        <v>1800</v>
      </c>
      <c r="N3397" s="9"/>
      <c r="O3397" s="2">
        <v>0</v>
      </c>
      <c r="P3397" s="9"/>
      <c r="Q3397" s="2">
        <f t="shared" si="98"/>
        <v>1800</v>
      </c>
      <c r="T3397" s="11"/>
    </row>
    <row r="3398" spans="1:21" ht="11.85" customHeight="1" x14ac:dyDescent="0.2">
      <c r="A3398" s="3" t="s">
        <v>1435</v>
      </c>
      <c r="C3398" s="2">
        <v>3710</v>
      </c>
      <c r="E3398" s="2">
        <v>3640</v>
      </c>
      <c r="G3398" s="2">
        <v>10810</v>
      </c>
      <c r="I3398" s="2">
        <v>10950</v>
      </c>
      <c r="K3398" s="2">
        <v>10950</v>
      </c>
      <c r="L3398" s="9"/>
      <c r="M3398" s="2">
        <v>10950</v>
      </c>
      <c r="N3398" s="9"/>
      <c r="O3398" s="2">
        <v>0</v>
      </c>
      <c r="P3398" s="9"/>
      <c r="Q3398" s="2">
        <f t="shared" si="98"/>
        <v>10950</v>
      </c>
      <c r="T3398" s="11"/>
    </row>
    <row r="3399" spans="1:21" ht="11.85" customHeight="1" x14ac:dyDescent="0.2">
      <c r="A3399" s="3" t="s">
        <v>1436</v>
      </c>
      <c r="C3399" s="2">
        <v>300</v>
      </c>
      <c r="E3399" s="2">
        <v>300</v>
      </c>
      <c r="G3399" s="2">
        <v>300</v>
      </c>
      <c r="I3399" s="2">
        <v>300</v>
      </c>
      <c r="K3399" s="2">
        <v>300</v>
      </c>
      <c r="L3399" s="9"/>
      <c r="M3399" s="2">
        <v>300</v>
      </c>
      <c r="N3399" s="9"/>
      <c r="O3399" s="2">
        <v>0</v>
      </c>
      <c r="P3399" s="9"/>
      <c r="Q3399" s="2">
        <f t="shared" si="98"/>
        <v>300</v>
      </c>
      <c r="T3399" s="11"/>
    </row>
    <row r="3400" spans="1:21" ht="11.85" customHeight="1" x14ac:dyDescent="0.2">
      <c r="A3400" s="3" t="s">
        <v>1437</v>
      </c>
      <c r="C3400" s="2">
        <v>40732.81</v>
      </c>
      <c r="E3400" s="2">
        <v>48575.16</v>
      </c>
      <c r="G3400" s="2">
        <v>38282.480000000003</v>
      </c>
      <c r="I3400" s="2">
        <v>57300</v>
      </c>
      <c r="K3400" s="2">
        <f>57300-19300</f>
        <v>38000</v>
      </c>
      <c r="L3400" s="9"/>
      <c r="M3400" s="2">
        <v>50707</v>
      </c>
      <c r="N3400" s="9"/>
      <c r="O3400" s="2">
        <v>0</v>
      </c>
      <c r="P3400" s="9"/>
      <c r="Q3400" s="2">
        <f t="shared" si="98"/>
        <v>50707</v>
      </c>
      <c r="T3400" s="11"/>
    </row>
    <row r="3401" spans="1:21" ht="11.85" customHeight="1" x14ac:dyDescent="0.2">
      <c r="A3401" s="3" t="s">
        <v>1438</v>
      </c>
      <c r="C3401" s="2">
        <v>17881.04</v>
      </c>
      <c r="E3401" s="2">
        <v>22942.62</v>
      </c>
      <c r="G3401" s="2">
        <v>17433.259999999998</v>
      </c>
      <c r="I3401" s="2">
        <v>21851</v>
      </c>
      <c r="K3401" s="2">
        <v>21851</v>
      </c>
      <c r="L3401" s="9"/>
      <c r="M3401" s="2">
        <v>19955</v>
      </c>
      <c r="N3401" s="9"/>
      <c r="O3401" s="2">
        <v>0</v>
      </c>
      <c r="P3401" s="9"/>
      <c r="Q3401" s="2">
        <f t="shared" si="98"/>
        <v>19955</v>
      </c>
      <c r="T3401" s="11"/>
    </row>
    <row r="3402" spans="1:21" ht="11.85" customHeight="1" x14ac:dyDescent="0.2">
      <c r="A3402" s="3" t="s">
        <v>1439</v>
      </c>
      <c r="C3402" s="2">
        <v>6004.07</v>
      </c>
      <c r="E3402" s="2">
        <v>8174.52</v>
      </c>
      <c r="G3402" s="2">
        <v>6941.14</v>
      </c>
      <c r="I3402" s="2">
        <v>8417</v>
      </c>
      <c r="K3402" s="2">
        <v>8417</v>
      </c>
      <c r="L3402" s="9"/>
      <c r="M3402" s="2">
        <v>4151</v>
      </c>
      <c r="N3402" s="9"/>
      <c r="O3402" s="2">
        <v>0</v>
      </c>
      <c r="P3402" s="9"/>
      <c r="Q3402" s="2">
        <f t="shared" si="98"/>
        <v>4151</v>
      </c>
      <c r="T3402" s="11"/>
    </row>
    <row r="3403" spans="1:21" ht="11.85" customHeight="1" x14ac:dyDescent="0.2">
      <c r="A3403" s="3" t="s">
        <v>1440</v>
      </c>
      <c r="C3403" s="2">
        <v>1656</v>
      </c>
      <c r="E3403" s="2">
        <v>128.43</v>
      </c>
      <c r="G3403" s="2">
        <v>63.05</v>
      </c>
      <c r="I3403" s="2">
        <v>586</v>
      </c>
      <c r="K3403" s="2">
        <v>586</v>
      </c>
      <c r="L3403" s="9"/>
      <c r="M3403" s="2">
        <v>630</v>
      </c>
      <c r="N3403" s="9"/>
      <c r="O3403" s="2">
        <v>0</v>
      </c>
      <c r="P3403" s="9"/>
      <c r="Q3403" s="2">
        <f t="shared" si="98"/>
        <v>630</v>
      </c>
      <c r="T3403" s="11"/>
    </row>
    <row r="3404" spans="1:21" ht="11.85" customHeight="1" x14ac:dyDescent="0.2">
      <c r="A3404" s="3" t="s">
        <v>1441</v>
      </c>
      <c r="C3404" s="12">
        <v>15319.09</v>
      </c>
      <c r="E3404" s="12">
        <v>20027.03</v>
      </c>
      <c r="G3404" s="12">
        <v>15058.34</v>
      </c>
      <c r="I3404" s="12">
        <v>18676</v>
      </c>
      <c r="K3404" s="12">
        <v>18676</v>
      </c>
      <c r="L3404" s="9"/>
      <c r="M3404" s="12">
        <v>17822</v>
      </c>
      <c r="N3404" s="9"/>
      <c r="O3404" s="12">
        <v>0</v>
      </c>
      <c r="P3404" s="9"/>
      <c r="Q3404" s="12">
        <f t="shared" si="98"/>
        <v>17822</v>
      </c>
      <c r="T3404" s="11"/>
    </row>
    <row r="3405" spans="1:21" ht="11.85" customHeight="1" x14ac:dyDescent="0.2">
      <c r="A3405" s="3" t="s">
        <v>285</v>
      </c>
      <c r="C3405" s="2">
        <f>SUM(C3395:C3404)</f>
        <v>287436.87000000005</v>
      </c>
      <c r="E3405" s="2">
        <f>SUM(E3395:E3404)</f>
        <v>354087.69999999995</v>
      </c>
      <c r="G3405" s="2">
        <f>SUM(G3395:G3404)</f>
        <v>273831.82000000007</v>
      </c>
      <c r="I3405" s="2">
        <f>SUM(I3395:I3404)</f>
        <v>359319</v>
      </c>
      <c r="K3405" s="2">
        <f>SUM(K3395:K3404)</f>
        <v>320719</v>
      </c>
      <c r="L3405" s="9"/>
      <c r="M3405" s="2">
        <f>SUM(M3395:M3404)</f>
        <v>334804</v>
      </c>
      <c r="N3405" s="9"/>
      <c r="O3405" s="2">
        <f>SUM(O3395:O3404)</f>
        <v>0</v>
      </c>
      <c r="P3405" s="9"/>
      <c r="Q3405" s="2">
        <f>SUM(Q3395:Q3404)</f>
        <v>334804</v>
      </c>
      <c r="R3405" s="9"/>
      <c r="U3405" s="9"/>
    </row>
    <row r="3406" spans="1:21" ht="11.85" customHeight="1" x14ac:dyDescent="0.2">
      <c r="L3406" s="9"/>
      <c r="N3406" s="9"/>
      <c r="P3406" s="9"/>
    </row>
    <row r="3407" spans="1:21" ht="11.85" customHeight="1" x14ac:dyDescent="0.2">
      <c r="A3407" s="10" t="s">
        <v>286</v>
      </c>
      <c r="L3407" s="9"/>
      <c r="N3407" s="9"/>
      <c r="P3407" s="9"/>
    </row>
    <row r="3408" spans="1:21" ht="11.85" customHeight="1" x14ac:dyDescent="0.2">
      <c r="A3408" s="3" t="s">
        <v>1442</v>
      </c>
      <c r="C3408" s="2">
        <v>0</v>
      </c>
      <c r="E3408" s="2">
        <v>0</v>
      </c>
      <c r="G3408" s="2">
        <v>0</v>
      </c>
      <c r="I3408" s="2">
        <v>0</v>
      </c>
      <c r="K3408" s="2">
        <v>0</v>
      </c>
      <c r="L3408" s="9"/>
      <c r="M3408" s="2">
        <v>0</v>
      </c>
      <c r="N3408" s="9"/>
      <c r="O3408" s="2">
        <v>0</v>
      </c>
      <c r="P3408" s="9"/>
      <c r="Q3408" s="2">
        <f t="shared" ref="Q3408:Q3425" si="99">M3408+O3408</f>
        <v>0</v>
      </c>
      <c r="T3408" s="11"/>
    </row>
    <row r="3409" spans="1:20" ht="11.85" customHeight="1" x14ac:dyDescent="0.2">
      <c r="A3409" s="3" t="s">
        <v>1443</v>
      </c>
      <c r="C3409" s="2">
        <v>227861.11</v>
      </c>
      <c r="E3409" s="2">
        <v>239140.28</v>
      </c>
      <c r="G3409" s="2">
        <v>190398.21</v>
      </c>
      <c r="I3409" s="2">
        <v>220000</v>
      </c>
      <c r="K3409" s="2">
        <v>220000</v>
      </c>
      <c r="L3409" s="9"/>
      <c r="M3409" s="2">
        <v>220000</v>
      </c>
      <c r="N3409" s="9"/>
      <c r="O3409" s="2">
        <v>0</v>
      </c>
      <c r="P3409" s="9"/>
      <c r="Q3409" s="2">
        <f t="shared" si="99"/>
        <v>220000</v>
      </c>
      <c r="T3409" s="11"/>
    </row>
    <row r="3410" spans="1:20" ht="11.85" customHeight="1" x14ac:dyDescent="0.2">
      <c r="A3410" s="3" t="s">
        <v>1444</v>
      </c>
      <c r="C3410" s="2">
        <v>17186.09</v>
      </c>
      <c r="E3410" s="2">
        <v>15922.66</v>
      </c>
      <c r="G3410" s="2">
        <v>6754</v>
      </c>
      <c r="I3410" s="2">
        <v>8500</v>
      </c>
      <c r="K3410" s="2">
        <v>8500</v>
      </c>
      <c r="L3410" s="9"/>
      <c r="M3410" s="2">
        <v>8500</v>
      </c>
      <c r="N3410" s="9"/>
      <c r="O3410" s="2">
        <v>0</v>
      </c>
      <c r="P3410" s="9"/>
      <c r="Q3410" s="2">
        <f t="shared" si="99"/>
        <v>8500</v>
      </c>
      <c r="T3410" s="11"/>
    </row>
    <row r="3411" spans="1:20" ht="11.85" customHeight="1" x14ac:dyDescent="0.2">
      <c r="A3411" s="3" t="s">
        <v>1445</v>
      </c>
      <c r="C3411" s="2">
        <v>8341.9</v>
      </c>
      <c r="E3411" s="2">
        <v>8213.41</v>
      </c>
      <c r="G3411" s="2">
        <v>7991.9</v>
      </c>
      <c r="I3411" s="2">
        <v>10000</v>
      </c>
      <c r="K3411" s="2">
        <v>10000</v>
      </c>
      <c r="L3411" s="9"/>
      <c r="M3411" s="2">
        <v>10000</v>
      </c>
      <c r="N3411" s="9"/>
      <c r="O3411" s="2">
        <v>0</v>
      </c>
      <c r="P3411" s="9"/>
      <c r="Q3411" s="2">
        <f t="shared" si="99"/>
        <v>10000</v>
      </c>
      <c r="T3411" s="11"/>
    </row>
    <row r="3412" spans="1:20" ht="11.85" customHeight="1" x14ac:dyDescent="0.2">
      <c r="A3412" s="3" t="s">
        <v>1446</v>
      </c>
      <c r="C3412" s="2">
        <v>19143.259999999998</v>
      </c>
      <c r="E3412" s="2">
        <v>21191.49</v>
      </c>
      <c r="G3412" s="2">
        <v>12103.36</v>
      </c>
      <c r="I3412" s="2">
        <v>14000</v>
      </c>
      <c r="K3412" s="2">
        <v>14000</v>
      </c>
      <c r="L3412" s="9"/>
      <c r="M3412" s="2">
        <v>14350</v>
      </c>
      <c r="N3412" s="9"/>
      <c r="O3412" s="2">
        <v>0</v>
      </c>
      <c r="P3412" s="9"/>
      <c r="Q3412" s="2">
        <f t="shared" si="99"/>
        <v>14350</v>
      </c>
      <c r="T3412" s="11"/>
    </row>
    <row r="3413" spans="1:20" ht="11.85" customHeight="1" x14ac:dyDescent="0.2">
      <c r="A3413" s="3" t="s">
        <v>1447</v>
      </c>
      <c r="C3413" s="2">
        <v>979.68</v>
      </c>
      <c r="E3413" s="2">
        <v>1068</v>
      </c>
      <c r="G3413" s="2">
        <v>0</v>
      </c>
      <c r="I3413" s="2">
        <v>0</v>
      </c>
      <c r="K3413" s="2">
        <v>0</v>
      </c>
      <c r="L3413" s="9"/>
      <c r="M3413" s="2">
        <v>0</v>
      </c>
      <c r="N3413" s="9"/>
      <c r="O3413" s="2">
        <v>0</v>
      </c>
      <c r="P3413" s="9"/>
      <c r="Q3413" s="2">
        <f t="shared" si="99"/>
        <v>0</v>
      </c>
      <c r="T3413" s="11"/>
    </row>
    <row r="3414" spans="1:20" ht="11.85" hidden="1" customHeight="1" x14ac:dyDescent="0.2">
      <c r="A3414" s="3" t="s">
        <v>1448</v>
      </c>
      <c r="C3414" s="2">
        <v>0</v>
      </c>
      <c r="E3414" s="2">
        <v>0</v>
      </c>
      <c r="G3414" s="2">
        <v>0</v>
      </c>
      <c r="I3414" s="2">
        <v>0</v>
      </c>
      <c r="K3414" s="2">
        <v>0</v>
      </c>
      <c r="L3414" s="9"/>
      <c r="M3414" s="2">
        <v>0</v>
      </c>
      <c r="N3414" s="9"/>
      <c r="O3414" s="2">
        <v>0</v>
      </c>
      <c r="P3414" s="9"/>
      <c r="Q3414" s="2">
        <f t="shared" si="99"/>
        <v>0</v>
      </c>
      <c r="T3414" s="11"/>
    </row>
    <row r="3415" spans="1:20" ht="11.85" hidden="1" customHeight="1" x14ac:dyDescent="0.2">
      <c r="A3415" s="3" t="s">
        <v>1449</v>
      </c>
      <c r="C3415" s="2">
        <v>0</v>
      </c>
      <c r="E3415" s="2">
        <v>0</v>
      </c>
      <c r="G3415" s="2">
        <v>0</v>
      </c>
      <c r="I3415" s="2">
        <v>0</v>
      </c>
      <c r="K3415" s="2">
        <v>0</v>
      </c>
      <c r="L3415" s="9"/>
      <c r="M3415" s="2">
        <v>0</v>
      </c>
      <c r="N3415" s="9"/>
      <c r="O3415" s="2">
        <v>0</v>
      </c>
      <c r="P3415" s="9"/>
      <c r="Q3415" s="2">
        <f t="shared" si="99"/>
        <v>0</v>
      </c>
      <c r="T3415" s="11"/>
    </row>
    <row r="3416" spans="1:20" ht="11.85" customHeight="1" x14ac:dyDescent="0.2">
      <c r="A3416" s="3" t="s">
        <v>1450</v>
      </c>
      <c r="C3416" s="2">
        <v>0</v>
      </c>
      <c r="E3416" s="2">
        <v>0</v>
      </c>
      <c r="G3416" s="2">
        <v>0</v>
      </c>
      <c r="I3416" s="2">
        <v>0</v>
      </c>
      <c r="K3416" s="2">
        <v>0</v>
      </c>
      <c r="L3416" s="9"/>
      <c r="M3416" s="2">
        <v>0</v>
      </c>
      <c r="N3416" s="9"/>
      <c r="O3416" s="2">
        <v>0</v>
      </c>
      <c r="P3416" s="9"/>
      <c r="Q3416" s="2">
        <f t="shared" si="99"/>
        <v>0</v>
      </c>
      <c r="T3416" s="11"/>
    </row>
    <row r="3417" spans="1:20" ht="11.85" customHeight="1" x14ac:dyDescent="0.2">
      <c r="A3417" s="3" t="s">
        <v>1451</v>
      </c>
      <c r="C3417" s="2">
        <v>0</v>
      </c>
      <c r="E3417" s="2">
        <v>0</v>
      </c>
      <c r="G3417" s="2">
        <v>0</v>
      </c>
      <c r="I3417" s="2">
        <v>0</v>
      </c>
      <c r="K3417" s="2">
        <v>0</v>
      </c>
      <c r="L3417" s="9"/>
      <c r="M3417" s="2">
        <v>0</v>
      </c>
      <c r="N3417" s="9"/>
      <c r="O3417" s="2">
        <v>0</v>
      </c>
      <c r="P3417" s="9"/>
      <c r="Q3417" s="2">
        <f t="shared" si="99"/>
        <v>0</v>
      </c>
      <c r="T3417" s="11"/>
    </row>
    <row r="3418" spans="1:20" ht="11.85" customHeight="1" x14ac:dyDescent="0.2">
      <c r="A3418" s="3" t="s">
        <v>1452</v>
      </c>
      <c r="C3418" s="2">
        <v>0</v>
      </c>
      <c r="E3418" s="2">
        <v>0</v>
      </c>
      <c r="G3418" s="2">
        <v>0</v>
      </c>
      <c r="I3418" s="2">
        <v>0</v>
      </c>
      <c r="K3418" s="2">
        <v>0</v>
      </c>
      <c r="L3418" s="9"/>
      <c r="M3418" s="2">
        <v>0</v>
      </c>
      <c r="N3418" s="9"/>
      <c r="O3418" s="2">
        <v>0</v>
      </c>
      <c r="P3418" s="9"/>
      <c r="Q3418" s="2">
        <f t="shared" si="99"/>
        <v>0</v>
      </c>
      <c r="T3418" s="11"/>
    </row>
    <row r="3419" spans="1:20" ht="11.85" customHeight="1" x14ac:dyDescent="0.2">
      <c r="A3419" s="3" t="s">
        <v>1453</v>
      </c>
      <c r="C3419" s="2">
        <v>0</v>
      </c>
      <c r="E3419" s="2">
        <v>0</v>
      </c>
      <c r="G3419" s="2">
        <v>0</v>
      </c>
      <c r="I3419" s="2">
        <v>0</v>
      </c>
      <c r="K3419" s="2">
        <v>0</v>
      </c>
      <c r="L3419" s="9"/>
      <c r="M3419" s="2">
        <v>0</v>
      </c>
      <c r="N3419" s="9"/>
      <c r="O3419" s="2">
        <v>0</v>
      </c>
      <c r="P3419" s="9"/>
      <c r="Q3419" s="2">
        <f t="shared" si="99"/>
        <v>0</v>
      </c>
      <c r="T3419" s="11"/>
    </row>
    <row r="3420" spans="1:20" ht="11.85" customHeight="1" x14ac:dyDescent="0.2">
      <c r="A3420" s="3" t="s">
        <v>1454</v>
      </c>
      <c r="C3420" s="2">
        <v>0</v>
      </c>
      <c r="E3420" s="2">
        <v>1740</v>
      </c>
      <c r="G3420" s="2">
        <v>1740</v>
      </c>
      <c r="I3420" s="2">
        <v>1740</v>
      </c>
      <c r="K3420" s="2">
        <v>1740</v>
      </c>
      <c r="L3420" s="9"/>
      <c r="M3420" s="2">
        <v>1740</v>
      </c>
      <c r="N3420" s="9"/>
      <c r="O3420" s="2">
        <v>0</v>
      </c>
      <c r="P3420" s="9"/>
      <c r="Q3420" s="2">
        <f>M3420+O3420</f>
        <v>1740</v>
      </c>
      <c r="T3420" s="11"/>
    </row>
    <row r="3421" spans="1:20" ht="11.85" customHeight="1" x14ac:dyDescent="0.2">
      <c r="A3421" s="3" t="s">
        <v>1455</v>
      </c>
      <c r="C3421" s="2">
        <v>1121.92</v>
      </c>
      <c r="E3421" s="2">
        <v>862.9</v>
      </c>
      <c r="G3421" s="2">
        <v>1071</v>
      </c>
      <c r="I3421" s="2">
        <v>1720</v>
      </c>
      <c r="K3421" s="2">
        <v>1720</v>
      </c>
      <c r="L3421" s="9"/>
      <c r="M3421" s="2">
        <v>1800</v>
      </c>
      <c r="N3421" s="9"/>
      <c r="O3421" s="2">
        <v>0</v>
      </c>
      <c r="P3421" s="9"/>
      <c r="Q3421" s="2">
        <f t="shared" si="99"/>
        <v>1800</v>
      </c>
      <c r="T3421" s="11"/>
    </row>
    <row r="3422" spans="1:20" ht="11.85" customHeight="1" x14ac:dyDescent="0.2">
      <c r="A3422" s="3" t="s">
        <v>1456</v>
      </c>
      <c r="C3422" s="2">
        <v>1273.71</v>
      </c>
      <c r="E3422" s="2">
        <v>3741.09</v>
      </c>
      <c r="G3422" s="2">
        <v>1741.53</v>
      </c>
      <c r="I3422" s="2">
        <v>1600</v>
      </c>
      <c r="K3422" s="2">
        <v>1600</v>
      </c>
      <c r="L3422" s="9"/>
      <c r="M3422" s="2">
        <v>2200</v>
      </c>
      <c r="N3422" s="9"/>
      <c r="O3422" s="2">
        <v>0</v>
      </c>
      <c r="P3422" s="9"/>
      <c r="Q3422" s="2">
        <f t="shared" si="99"/>
        <v>2200</v>
      </c>
      <c r="T3422" s="11"/>
    </row>
    <row r="3423" spans="1:20" ht="11.85" customHeight="1" x14ac:dyDescent="0.2">
      <c r="A3423" s="3" t="s">
        <v>1457</v>
      </c>
      <c r="C3423" s="2">
        <v>1400</v>
      </c>
      <c r="E3423" s="2">
        <v>1400</v>
      </c>
      <c r="G3423" s="2">
        <v>1400</v>
      </c>
      <c r="I3423" s="2">
        <v>2000</v>
      </c>
      <c r="K3423" s="2">
        <v>2000</v>
      </c>
      <c r="L3423" s="9"/>
      <c r="M3423" s="2">
        <v>2000</v>
      </c>
      <c r="N3423" s="9"/>
      <c r="O3423" s="2">
        <v>0</v>
      </c>
      <c r="P3423" s="9"/>
      <c r="Q3423" s="2">
        <f>M3423+O3423</f>
        <v>2000</v>
      </c>
      <c r="T3423" s="11"/>
    </row>
    <row r="3424" spans="1:20" ht="11.85" customHeight="1" x14ac:dyDescent="0.2">
      <c r="A3424" s="3" t="s">
        <v>1458</v>
      </c>
      <c r="C3424" s="2">
        <v>258000</v>
      </c>
      <c r="E3424" s="2">
        <v>285996</v>
      </c>
      <c r="G3424" s="2">
        <v>273996</v>
      </c>
      <c r="I3424" s="2">
        <v>274000</v>
      </c>
      <c r="K3424" s="2">
        <v>274000</v>
      </c>
      <c r="L3424" s="9"/>
      <c r="M3424" s="2">
        <v>258000</v>
      </c>
      <c r="N3424" s="9"/>
      <c r="O3424" s="2">
        <v>0</v>
      </c>
      <c r="P3424" s="9"/>
      <c r="Q3424" s="2">
        <f>M3424+O3424</f>
        <v>258000</v>
      </c>
      <c r="T3424" s="11"/>
    </row>
    <row r="3425" spans="1:32" ht="11.85" customHeight="1" x14ac:dyDescent="0.2">
      <c r="A3425" s="3" t="s">
        <v>1459</v>
      </c>
      <c r="C3425" s="12">
        <v>107004</v>
      </c>
      <c r="E3425" s="12">
        <v>141000</v>
      </c>
      <c r="G3425" s="12">
        <v>95004</v>
      </c>
      <c r="I3425" s="12">
        <v>96000</v>
      </c>
      <c r="K3425" s="12">
        <v>96000</v>
      </c>
      <c r="L3425" s="9"/>
      <c r="M3425" s="12">
        <v>127000</v>
      </c>
      <c r="N3425" s="9"/>
      <c r="O3425" s="12">
        <v>0</v>
      </c>
      <c r="P3425" s="9"/>
      <c r="Q3425" s="12">
        <f t="shared" si="99"/>
        <v>127000</v>
      </c>
      <c r="T3425" s="11"/>
    </row>
    <row r="3426" spans="1:32" ht="11.85" customHeight="1" x14ac:dyDescent="0.2">
      <c r="A3426" s="3" t="s">
        <v>304</v>
      </c>
      <c r="C3426" s="2">
        <f>SUM(C3408:C3425)</f>
        <v>642311.66999999993</v>
      </c>
      <c r="E3426" s="2">
        <f>SUM(E3408:E3425)</f>
        <v>720275.83000000007</v>
      </c>
      <c r="G3426" s="2">
        <f>SUM(G3408:G3425)</f>
        <v>592200</v>
      </c>
      <c r="I3426" s="2">
        <f>SUM(I3408:I3425)</f>
        <v>629560</v>
      </c>
      <c r="K3426" s="2">
        <f>SUM(K3408:K3425)</f>
        <v>629560</v>
      </c>
      <c r="L3426" s="9"/>
      <c r="M3426" s="2">
        <f>SUM(M3408:M3425)</f>
        <v>645590</v>
      </c>
      <c r="N3426" s="9"/>
      <c r="O3426" s="2">
        <f>SUM(O3408:O3425)</f>
        <v>0</v>
      </c>
      <c r="P3426" s="9"/>
      <c r="Q3426" s="2">
        <f>SUM(Q3408:Q3425)</f>
        <v>645590</v>
      </c>
      <c r="R3426" s="9"/>
    </row>
    <row r="3427" spans="1:32" ht="11.85" customHeight="1" x14ac:dyDescent="0.2"/>
    <row r="3428" spans="1:32" ht="11.85" customHeight="1" x14ac:dyDescent="0.2">
      <c r="A3428" s="10" t="s">
        <v>305</v>
      </c>
    </row>
    <row r="3429" spans="1:32" ht="11.85" customHeight="1" x14ac:dyDescent="0.2">
      <c r="A3429" s="3" t="s">
        <v>1460</v>
      </c>
      <c r="C3429" s="2">
        <v>4774.3599999999997</v>
      </c>
      <c r="E3429" s="2">
        <v>1397.22</v>
      </c>
      <c r="G3429" s="2">
        <v>2170.4499999999998</v>
      </c>
      <c r="I3429" s="2">
        <v>3400</v>
      </c>
      <c r="K3429" s="2">
        <v>3400</v>
      </c>
      <c r="L3429" s="9"/>
      <c r="M3429" s="2">
        <v>3400</v>
      </c>
      <c r="N3429" s="9"/>
      <c r="O3429" s="2">
        <v>0</v>
      </c>
      <c r="P3429" s="9"/>
      <c r="Q3429" s="2">
        <f t="shared" ref="Q3429:Q3451" si="100">M3429+O3429</f>
        <v>3400</v>
      </c>
      <c r="T3429" s="11"/>
      <c r="AF3429" s="9"/>
    </row>
    <row r="3430" spans="1:32" ht="11.85" customHeight="1" x14ac:dyDescent="0.2">
      <c r="A3430" s="3" t="s">
        <v>1461</v>
      </c>
      <c r="C3430" s="2">
        <v>1354.12</v>
      </c>
      <c r="E3430" s="2">
        <v>2799.72</v>
      </c>
      <c r="G3430" s="2">
        <v>986.62</v>
      </c>
      <c r="I3430" s="2">
        <v>3500</v>
      </c>
      <c r="K3430" s="2">
        <v>3500</v>
      </c>
      <c r="L3430" s="9"/>
      <c r="M3430" s="2">
        <v>3500</v>
      </c>
      <c r="N3430" s="9"/>
      <c r="O3430" s="2">
        <v>0</v>
      </c>
      <c r="P3430" s="9"/>
      <c r="Q3430" s="2">
        <f t="shared" si="100"/>
        <v>3500</v>
      </c>
      <c r="T3430" s="11"/>
      <c r="AF3430" s="9"/>
    </row>
    <row r="3431" spans="1:32" ht="11.85" customHeight="1" x14ac:dyDescent="0.2">
      <c r="A3431" s="3" t="s">
        <v>1462</v>
      </c>
      <c r="C3431" s="2">
        <v>3322.16</v>
      </c>
      <c r="E3431" s="2">
        <v>5046.32</v>
      </c>
      <c r="G3431" s="2">
        <v>3904.87</v>
      </c>
      <c r="I3431" s="2">
        <v>5000</v>
      </c>
      <c r="K3431" s="2">
        <v>5000</v>
      </c>
      <c r="L3431" s="9"/>
      <c r="M3431" s="2">
        <v>5000</v>
      </c>
      <c r="N3431" s="9"/>
      <c r="O3431" s="2">
        <v>0</v>
      </c>
      <c r="P3431" s="9"/>
      <c r="Q3431" s="2">
        <f t="shared" si="100"/>
        <v>5000</v>
      </c>
      <c r="T3431" s="11"/>
      <c r="AF3431" s="9"/>
    </row>
    <row r="3432" spans="1:32" ht="11.85" customHeight="1" x14ac:dyDescent="0.2">
      <c r="A3432" s="3" t="s">
        <v>1463</v>
      </c>
      <c r="C3432" s="2">
        <v>14710.67</v>
      </c>
      <c r="E3432" s="2">
        <v>13068.58</v>
      </c>
      <c r="G3432" s="2">
        <v>8833</v>
      </c>
      <c r="I3432" s="2">
        <v>15500</v>
      </c>
      <c r="K3432" s="2">
        <f>126146+5000</f>
        <v>131146</v>
      </c>
      <c r="L3432" s="9"/>
      <c r="M3432" s="2">
        <v>15500</v>
      </c>
      <c r="N3432" s="9"/>
      <c r="O3432" s="2">
        <v>0</v>
      </c>
      <c r="P3432" s="9"/>
      <c r="Q3432" s="2">
        <f t="shared" si="100"/>
        <v>15500</v>
      </c>
      <c r="T3432" s="11"/>
      <c r="AF3432" s="9"/>
    </row>
    <row r="3433" spans="1:32" ht="11.85" customHeight="1" x14ac:dyDescent="0.2">
      <c r="A3433" s="3" t="s">
        <v>1464</v>
      </c>
      <c r="C3433" s="2">
        <v>13300.09</v>
      </c>
      <c r="E3433" s="2">
        <v>20067.72</v>
      </c>
      <c r="G3433" s="2">
        <v>20934.810000000001</v>
      </c>
      <c r="I3433" s="2">
        <v>23000</v>
      </c>
      <c r="K3433" s="2">
        <v>23000</v>
      </c>
      <c r="L3433" s="9"/>
      <c r="M3433" s="2">
        <v>23000</v>
      </c>
      <c r="N3433" s="9"/>
      <c r="O3433" s="2">
        <v>0</v>
      </c>
      <c r="P3433" s="9"/>
      <c r="Q3433" s="2">
        <f t="shared" si="100"/>
        <v>23000</v>
      </c>
      <c r="T3433" s="11"/>
      <c r="AF3433" s="9"/>
    </row>
    <row r="3434" spans="1:32" ht="11.85" customHeight="1" x14ac:dyDescent="0.2">
      <c r="A3434" s="3" t="s">
        <v>1465</v>
      </c>
      <c r="C3434" s="2">
        <v>3475.89</v>
      </c>
      <c r="E3434" s="2">
        <v>3002.38</v>
      </c>
      <c r="G3434" s="2">
        <v>2117.62</v>
      </c>
      <c r="I3434" s="2">
        <v>3000</v>
      </c>
      <c r="K3434" s="2">
        <f>3000+2000</f>
        <v>5000</v>
      </c>
      <c r="L3434" s="9"/>
      <c r="M3434" s="2">
        <v>3000</v>
      </c>
      <c r="N3434" s="9"/>
      <c r="O3434" s="2">
        <v>0</v>
      </c>
      <c r="P3434" s="9"/>
      <c r="Q3434" s="2">
        <f t="shared" si="100"/>
        <v>3000</v>
      </c>
      <c r="T3434" s="11"/>
      <c r="AF3434" s="9"/>
    </row>
    <row r="3435" spans="1:32" ht="11.85" customHeight="1" x14ac:dyDescent="0.2">
      <c r="A3435" s="3" t="s">
        <v>1466</v>
      </c>
      <c r="C3435" s="2">
        <v>0</v>
      </c>
      <c r="E3435" s="2">
        <v>349.99</v>
      </c>
      <c r="G3435" s="2">
        <v>349.99</v>
      </c>
      <c r="I3435" s="2">
        <v>500</v>
      </c>
      <c r="K3435" s="2">
        <v>500</v>
      </c>
      <c r="L3435" s="9"/>
      <c r="M3435" s="2">
        <v>500</v>
      </c>
      <c r="N3435" s="9"/>
      <c r="O3435" s="2">
        <v>0</v>
      </c>
      <c r="P3435" s="9"/>
      <c r="Q3435" s="2">
        <f t="shared" si="100"/>
        <v>500</v>
      </c>
      <c r="T3435" s="11"/>
      <c r="AF3435" s="9"/>
    </row>
    <row r="3436" spans="1:32" ht="11.85" customHeight="1" x14ac:dyDescent="0.2">
      <c r="A3436" s="3" t="s">
        <v>1467</v>
      </c>
      <c r="C3436" s="2">
        <v>669.44</v>
      </c>
      <c r="E3436" s="2">
        <v>491.98</v>
      </c>
      <c r="G3436" s="2">
        <v>0</v>
      </c>
      <c r="I3436" s="2">
        <v>500</v>
      </c>
      <c r="K3436" s="2">
        <v>500</v>
      </c>
      <c r="L3436" s="9"/>
      <c r="M3436" s="2">
        <v>500</v>
      </c>
      <c r="N3436" s="9"/>
      <c r="O3436" s="2">
        <v>0</v>
      </c>
      <c r="P3436" s="9"/>
      <c r="Q3436" s="2">
        <f t="shared" si="100"/>
        <v>500</v>
      </c>
      <c r="T3436" s="11"/>
      <c r="AF3436" s="9"/>
    </row>
    <row r="3437" spans="1:32" ht="11.85" customHeight="1" x14ac:dyDescent="0.2">
      <c r="A3437" s="3" t="s">
        <v>1468</v>
      </c>
      <c r="C3437" s="2">
        <v>0</v>
      </c>
      <c r="E3437" s="2">
        <v>0</v>
      </c>
      <c r="G3437" s="2">
        <v>17.21</v>
      </c>
      <c r="I3437" s="2">
        <v>700</v>
      </c>
      <c r="K3437" s="2">
        <v>700</v>
      </c>
      <c r="L3437" s="9"/>
      <c r="M3437" s="2">
        <v>700</v>
      </c>
      <c r="N3437" s="9"/>
      <c r="O3437" s="2">
        <v>0</v>
      </c>
      <c r="P3437" s="9"/>
      <c r="Q3437" s="2">
        <f t="shared" si="100"/>
        <v>700</v>
      </c>
      <c r="T3437" s="11"/>
      <c r="AF3437" s="9"/>
    </row>
    <row r="3438" spans="1:32" ht="11.85" customHeight="1" x14ac:dyDescent="0.2">
      <c r="A3438" s="3" t="s">
        <v>1469</v>
      </c>
      <c r="C3438" s="2">
        <v>5922.7</v>
      </c>
      <c r="E3438" s="2">
        <v>4185.3100000000004</v>
      </c>
      <c r="G3438" s="2">
        <v>5379.34</v>
      </c>
      <c r="I3438" s="2">
        <v>6600</v>
      </c>
      <c r="K3438" s="2">
        <v>6600</v>
      </c>
      <c r="L3438" s="9"/>
      <c r="M3438" s="2">
        <v>6600</v>
      </c>
      <c r="N3438" s="9"/>
      <c r="O3438" s="2">
        <v>0</v>
      </c>
      <c r="P3438" s="9"/>
      <c r="Q3438" s="2">
        <f t="shared" si="100"/>
        <v>6600</v>
      </c>
      <c r="T3438" s="11"/>
      <c r="AF3438" s="9"/>
    </row>
    <row r="3439" spans="1:32" ht="11.85" customHeight="1" x14ac:dyDescent="0.2">
      <c r="A3439" s="3" t="s">
        <v>1470</v>
      </c>
      <c r="C3439" s="2">
        <v>5471.21</v>
      </c>
      <c r="E3439" s="2">
        <v>3339.04</v>
      </c>
      <c r="G3439" s="2">
        <v>4235.92</v>
      </c>
      <c r="I3439" s="2">
        <v>5500</v>
      </c>
      <c r="K3439" s="2">
        <v>5500</v>
      </c>
      <c r="L3439" s="9"/>
      <c r="M3439" s="2">
        <v>5500</v>
      </c>
      <c r="N3439" s="9"/>
      <c r="O3439" s="2">
        <v>0</v>
      </c>
      <c r="P3439" s="9"/>
      <c r="Q3439" s="2">
        <f t="shared" si="100"/>
        <v>5500</v>
      </c>
      <c r="T3439" s="11"/>
      <c r="AF3439" s="9"/>
    </row>
    <row r="3440" spans="1:32" ht="11.85" customHeight="1" x14ac:dyDescent="0.2">
      <c r="A3440" s="3" t="s">
        <v>1471</v>
      </c>
      <c r="C3440" s="2">
        <v>44631.26</v>
      </c>
      <c r="E3440" s="2">
        <v>56379.7</v>
      </c>
      <c r="G3440" s="2">
        <v>81490.429999999993</v>
      </c>
      <c r="I3440" s="2">
        <v>80000</v>
      </c>
      <c r="K3440" s="2">
        <f>80000-5000</f>
        <v>75000</v>
      </c>
      <c r="L3440" s="9"/>
      <c r="M3440" s="2">
        <v>80000</v>
      </c>
      <c r="N3440" s="9"/>
      <c r="O3440" s="2">
        <v>0</v>
      </c>
      <c r="P3440" s="9"/>
      <c r="Q3440" s="2">
        <f t="shared" si="100"/>
        <v>80000</v>
      </c>
      <c r="T3440" s="11"/>
      <c r="AF3440" s="9"/>
    </row>
    <row r="3441" spans="1:32" ht="11.85" customHeight="1" x14ac:dyDescent="0.2">
      <c r="A3441" s="3" t="s">
        <v>1472</v>
      </c>
      <c r="C3441" s="2">
        <v>80127.399999999994</v>
      </c>
      <c r="E3441" s="2">
        <v>80127.399999999994</v>
      </c>
      <c r="G3441" s="2">
        <v>81530.2</v>
      </c>
      <c r="I3441" s="2">
        <v>114200</v>
      </c>
      <c r="K3441" s="2">
        <v>114200</v>
      </c>
      <c r="L3441" s="9"/>
      <c r="M3441" s="2">
        <v>114200</v>
      </c>
      <c r="N3441" s="9"/>
      <c r="O3441" s="2">
        <v>0</v>
      </c>
      <c r="P3441" s="9"/>
      <c r="Q3441" s="2">
        <f t="shared" si="100"/>
        <v>114200</v>
      </c>
      <c r="T3441" s="11"/>
      <c r="AF3441" s="9"/>
    </row>
    <row r="3442" spans="1:32" ht="11.85" customHeight="1" x14ac:dyDescent="0.2">
      <c r="A3442" s="3" t="s">
        <v>1473</v>
      </c>
      <c r="C3442" s="2">
        <v>9373.5</v>
      </c>
      <c r="E3442" s="2">
        <v>13685.19</v>
      </c>
      <c r="G3442" s="2">
        <v>14804.42</v>
      </c>
      <c r="I3442" s="2">
        <v>15000</v>
      </c>
      <c r="K3442" s="2">
        <v>15000</v>
      </c>
      <c r="L3442" s="9"/>
      <c r="M3442" s="2">
        <v>15000</v>
      </c>
      <c r="N3442" s="9"/>
      <c r="O3442" s="2">
        <v>0</v>
      </c>
      <c r="P3442" s="9"/>
      <c r="Q3442" s="2">
        <f>M3442+O3442</f>
        <v>15000</v>
      </c>
      <c r="T3442" s="11"/>
      <c r="AF3442" s="9"/>
    </row>
    <row r="3443" spans="1:32" ht="11.85" customHeight="1" x14ac:dyDescent="0.2">
      <c r="A3443" s="3" t="s">
        <v>1474</v>
      </c>
      <c r="C3443" s="2">
        <v>86704.94</v>
      </c>
      <c r="E3443" s="2">
        <v>124882.11</v>
      </c>
      <c r="G3443" s="2">
        <v>76370</v>
      </c>
      <c r="I3443" s="2">
        <v>70000</v>
      </c>
      <c r="K3443" s="2">
        <f>67500-2000</f>
        <v>65500</v>
      </c>
      <c r="L3443" s="9"/>
      <c r="M3443" s="2">
        <v>70000</v>
      </c>
      <c r="N3443" s="9"/>
      <c r="O3443" s="2">
        <v>0</v>
      </c>
      <c r="P3443" s="9"/>
      <c r="Q3443" s="2">
        <f t="shared" si="100"/>
        <v>70000</v>
      </c>
      <c r="T3443" s="11"/>
      <c r="AF3443" s="9"/>
    </row>
    <row r="3444" spans="1:32" ht="11.85" customHeight="1" x14ac:dyDescent="0.2">
      <c r="A3444" s="3" t="s">
        <v>1475</v>
      </c>
      <c r="C3444" s="2">
        <v>3822.66</v>
      </c>
      <c r="E3444" s="2">
        <v>3879.87</v>
      </c>
      <c r="G3444" s="2">
        <v>4688.63</v>
      </c>
      <c r="I3444" s="2">
        <v>4900</v>
      </c>
      <c r="K3444" s="2">
        <v>4900</v>
      </c>
      <c r="L3444" s="9"/>
      <c r="M3444" s="2">
        <v>4900</v>
      </c>
      <c r="N3444" s="9"/>
      <c r="O3444" s="2">
        <v>0</v>
      </c>
      <c r="P3444" s="9"/>
      <c r="Q3444" s="2">
        <f t="shared" si="100"/>
        <v>4900</v>
      </c>
      <c r="T3444" s="11"/>
      <c r="AF3444" s="9"/>
    </row>
    <row r="3445" spans="1:32" ht="11.85" customHeight="1" x14ac:dyDescent="0.2">
      <c r="A3445" s="3" t="s">
        <v>1476</v>
      </c>
      <c r="C3445" s="2">
        <v>0</v>
      </c>
      <c r="E3445" s="2">
        <v>158.79</v>
      </c>
      <c r="G3445" s="2">
        <v>25.87</v>
      </c>
      <c r="I3445" s="2">
        <v>700</v>
      </c>
      <c r="K3445" s="2">
        <v>700</v>
      </c>
      <c r="L3445" s="9"/>
      <c r="M3445" s="2">
        <v>700</v>
      </c>
      <c r="N3445" s="9"/>
      <c r="O3445" s="2">
        <v>0</v>
      </c>
      <c r="P3445" s="9"/>
      <c r="Q3445" s="2">
        <f t="shared" si="100"/>
        <v>700</v>
      </c>
      <c r="T3445" s="11"/>
      <c r="AF3445" s="9"/>
    </row>
    <row r="3446" spans="1:32" ht="11.85" hidden="1" customHeight="1" x14ac:dyDescent="0.2">
      <c r="A3446" s="3" t="s">
        <v>1477</v>
      </c>
      <c r="C3446" s="2">
        <v>0</v>
      </c>
      <c r="E3446" s="2">
        <v>0</v>
      </c>
      <c r="G3446" s="2">
        <v>0</v>
      </c>
      <c r="I3446" s="2">
        <v>0</v>
      </c>
      <c r="K3446" s="2">
        <v>0</v>
      </c>
      <c r="L3446" s="9"/>
      <c r="M3446" s="2">
        <v>0</v>
      </c>
      <c r="N3446" s="9"/>
      <c r="O3446" s="2">
        <v>0</v>
      </c>
      <c r="P3446" s="9"/>
      <c r="Q3446" s="2">
        <f t="shared" si="100"/>
        <v>0</v>
      </c>
      <c r="T3446" s="11"/>
      <c r="AF3446" s="9"/>
    </row>
    <row r="3447" spans="1:32" ht="11.85" customHeight="1" x14ac:dyDescent="0.2">
      <c r="A3447" s="3" t="s">
        <v>1478</v>
      </c>
      <c r="C3447" s="2">
        <v>35936.75</v>
      </c>
      <c r="E3447" s="2">
        <v>43649.33</v>
      </c>
      <c r="G3447" s="2">
        <v>0</v>
      </c>
      <c r="I3447" s="2">
        <v>3600</v>
      </c>
      <c r="K3447" s="2">
        <v>3600</v>
      </c>
      <c r="L3447" s="9"/>
      <c r="M3447" s="2">
        <v>3600</v>
      </c>
      <c r="N3447" s="9"/>
      <c r="O3447" s="2">
        <v>0</v>
      </c>
      <c r="P3447" s="9"/>
      <c r="Q3447" s="2">
        <f t="shared" si="100"/>
        <v>3600</v>
      </c>
      <c r="T3447" s="11"/>
      <c r="AF3447" s="9"/>
    </row>
    <row r="3448" spans="1:32" ht="11.85" customHeight="1" x14ac:dyDescent="0.2">
      <c r="A3448" s="3" t="s">
        <v>1479</v>
      </c>
      <c r="C3448" s="2">
        <v>1498.29</v>
      </c>
      <c r="E3448" s="2">
        <v>1482.02</v>
      </c>
      <c r="G3448" s="2">
        <v>1447.52</v>
      </c>
      <c r="I3448" s="2">
        <v>1500</v>
      </c>
      <c r="K3448" s="2">
        <v>1500</v>
      </c>
      <c r="L3448" s="9"/>
      <c r="M3448" s="2">
        <v>1500</v>
      </c>
      <c r="N3448" s="9"/>
      <c r="O3448" s="2">
        <v>0</v>
      </c>
      <c r="P3448" s="9"/>
      <c r="Q3448" s="2">
        <f t="shared" si="100"/>
        <v>1500</v>
      </c>
      <c r="T3448" s="11"/>
      <c r="AF3448" s="9"/>
    </row>
    <row r="3449" spans="1:32" ht="11.85" customHeight="1" x14ac:dyDescent="0.2">
      <c r="A3449" s="3" t="s">
        <v>1480</v>
      </c>
      <c r="C3449" s="2">
        <v>13526.45</v>
      </c>
      <c r="E3449" s="2">
        <v>19411.21</v>
      </c>
      <c r="G3449" s="2">
        <v>11204.73</v>
      </c>
      <c r="I3449" s="2">
        <v>15000</v>
      </c>
      <c r="K3449" s="2">
        <v>15000</v>
      </c>
      <c r="L3449" s="9"/>
      <c r="M3449" s="2">
        <v>15000</v>
      </c>
      <c r="N3449" s="9"/>
      <c r="O3449" s="2">
        <v>0</v>
      </c>
      <c r="P3449" s="9"/>
      <c r="Q3449" s="2">
        <f t="shared" si="100"/>
        <v>15000</v>
      </c>
      <c r="T3449" s="11"/>
      <c r="AF3449" s="9"/>
    </row>
    <row r="3450" spans="1:32" ht="11.85" customHeight="1" x14ac:dyDescent="0.2">
      <c r="A3450" s="3" t="s">
        <v>1481</v>
      </c>
      <c r="C3450" s="2">
        <v>10100</v>
      </c>
      <c r="E3450" s="2">
        <v>6997</v>
      </c>
      <c r="G3450" s="2">
        <v>4498</v>
      </c>
      <c r="I3450" s="2">
        <v>9000</v>
      </c>
      <c r="K3450" s="2">
        <v>9000</v>
      </c>
      <c r="L3450" s="9"/>
      <c r="M3450" s="2">
        <v>9000</v>
      </c>
      <c r="N3450" s="9"/>
      <c r="O3450" s="2">
        <v>0</v>
      </c>
      <c r="P3450" s="9"/>
      <c r="Q3450" s="2">
        <f t="shared" si="100"/>
        <v>9000</v>
      </c>
      <c r="T3450" s="11"/>
      <c r="AF3450" s="9"/>
    </row>
    <row r="3451" spans="1:32" ht="11.85" customHeight="1" x14ac:dyDescent="0.2">
      <c r="A3451" s="3" t="s">
        <v>1482</v>
      </c>
      <c r="C3451" s="12">
        <v>11698.01</v>
      </c>
      <c r="E3451" s="12">
        <v>7731</v>
      </c>
      <c r="G3451" s="12">
        <v>4675.53</v>
      </c>
      <c r="I3451" s="12">
        <v>3200</v>
      </c>
      <c r="K3451" s="12">
        <v>3200</v>
      </c>
      <c r="L3451" s="9"/>
      <c r="M3451" s="12">
        <v>5200</v>
      </c>
      <c r="N3451" s="9"/>
      <c r="O3451" s="12">
        <v>0</v>
      </c>
      <c r="P3451" s="9"/>
      <c r="Q3451" s="12">
        <f t="shared" si="100"/>
        <v>5200</v>
      </c>
      <c r="T3451" s="11"/>
      <c r="AF3451" s="9"/>
    </row>
    <row r="3452" spans="1:32" ht="11.85" customHeight="1" x14ac:dyDescent="0.2">
      <c r="A3452" s="3" t="s">
        <v>328</v>
      </c>
      <c r="C3452" s="2">
        <f>SUM(C3429:C3434)+SUM(C3435:C3451)</f>
        <v>350419.89999999997</v>
      </c>
      <c r="E3452" s="2">
        <f>SUM(E3429:E3434)+SUM(E3435:E3451)</f>
        <v>412131.88</v>
      </c>
      <c r="G3452" s="2">
        <f>SUM(G3429:G3434)+SUM(G3435:G3451)</f>
        <v>329665.16000000003</v>
      </c>
      <c r="I3452" s="2">
        <f>SUM(I3429:I3434)+SUM(I3435:I3451)</f>
        <v>384300</v>
      </c>
      <c r="K3452" s="2">
        <f>SUM(K3429:K3434)+SUM(K3435:K3451)</f>
        <v>492446</v>
      </c>
      <c r="L3452" s="9"/>
      <c r="M3452" s="2">
        <f>SUM(M3429:M3434)+SUM(M3435:M3451)</f>
        <v>386300</v>
      </c>
      <c r="N3452" s="9"/>
      <c r="O3452" s="2">
        <f>SUM(O3429:O3434)+SUM(O3435:O3451)</f>
        <v>0</v>
      </c>
      <c r="P3452" s="9"/>
      <c r="Q3452" s="2">
        <f>SUM(Q3429:Q3434)+SUM(Q3435:Q3451)</f>
        <v>386300</v>
      </c>
      <c r="R3452" s="9"/>
      <c r="T3452" s="14"/>
      <c r="U3452" s="9"/>
      <c r="AF3452" s="9"/>
    </row>
    <row r="3453" spans="1:32" ht="11.85" customHeight="1" x14ac:dyDescent="0.2">
      <c r="L3453" s="9"/>
      <c r="N3453" s="9"/>
      <c r="P3453" s="9"/>
    </row>
    <row r="3454" spans="1:32" ht="11.85" customHeight="1" x14ac:dyDescent="0.2">
      <c r="A3454" s="1"/>
      <c r="B3454" s="1"/>
      <c r="E3454" s="2" t="str">
        <f>$E$1</f>
        <v>CITY OF BRADY</v>
      </c>
    </row>
    <row r="3455" spans="1:32" ht="11.85" customHeight="1" x14ac:dyDescent="0.2">
      <c r="E3455" s="2" t="str">
        <f>$E$2</f>
        <v>BUDGET REPORT</v>
      </c>
    </row>
    <row r="3456" spans="1:32" ht="11.85" customHeight="1" x14ac:dyDescent="0.2">
      <c r="E3456" s="2" t="str">
        <f>$E$3</f>
        <v>FISCAL YEAR 2024 - 2025</v>
      </c>
    </row>
    <row r="3457" spans="1:17" ht="11.85" customHeight="1" x14ac:dyDescent="0.2">
      <c r="A3457" s="3" t="s">
        <v>1306</v>
      </c>
    </row>
    <row r="3458" spans="1:17" ht="11.85" customHeight="1" x14ac:dyDescent="0.2">
      <c r="A3458" s="3" t="s">
        <v>1483</v>
      </c>
    </row>
    <row r="3459" spans="1:17" ht="11.85" customHeight="1" x14ac:dyDescent="0.2">
      <c r="I3459" s="53" t="str">
        <f>$I$6</f>
        <v>(----- 2023-2024------)</v>
      </c>
      <c r="J3459" s="53"/>
      <c r="K3459" s="53"/>
      <c r="L3459" s="6"/>
      <c r="M3459" s="54" t="str">
        <f>$M$6</f>
        <v>2024-2025</v>
      </c>
      <c r="N3459" s="54"/>
      <c r="O3459" s="54"/>
      <c r="P3459" s="54"/>
      <c r="Q3459" s="54"/>
    </row>
    <row r="3460" spans="1:17" ht="11.85" customHeight="1" x14ac:dyDescent="0.2">
      <c r="C3460" s="5" t="str">
        <f>$C$7</f>
        <v>2020-2021</v>
      </c>
      <c r="D3460" s="5"/>
      <c r="E3460" s="5" t="str">
        <f>$E$7</f>
        <v>2021-2022</v>
      </c>
      <c r="F3460" s="5"/>
      <c r="G3460" s="5" t="str">
        <f>$G$7</f>
        <v>2022-2023</v>
      </c>
      <c r="H3460" s="5"/>
      <c r="I3460" s="5" t="s">
        <v>9</v>
      </c>
      <c r="J3460" s="5"/>
      <c r="K3460" s="5" t="str">
        <f>+$K$7</f>
        <v>PROJECTED</v>
      </c>
      <c r="L3460" s="6"/>
      <c r="M3460" s="5">
        <f>$M$7</f>
        <v>0</v>
      </c>
      <c r="N3460" s="6"/>
      <c r="O3460" s="5" t="str">
        <f>$O$7</f>
        <v>2024-2025</v>
      </c>
      <c r="P3460" s="6"/>
      <c r="Q3460" s="5" t="str">
        <f>$Q$7</f>
        <v>APPROVED</v>
      </c>
    </row>
    <row r="3461" spans="1:17" ht="11.85" customHeight="1" x14ac:dyDescent="0.2">
      <c r="A3461" s="7" t="s">
        <v>273</v>
      </c>
      <c r="C3461" s="8" t="s">
        <v>12</v>
      </c>
      <c r="D3461" s="5"/>
      <c r="E3461" s="8" t="s">
        <v>12</v>
      </c>
      <c r="F3461" s="5"/>
      <c r="G3461" s="8" t="s">
        <v>12</v>
      </c>
      <c r="H3461" s="5"/>
      <c r="I3461" s="8" t="s">
        <v>13</v>
      </c>
      <c r="J3461" s="5"/>
      <c r="K3461" s="8" t="s">
        <v>13</v>
      </c>
      <c r="L3461" s="6"/>
      <c r="M3461" s="8" t="str">
        <f>$M$8</f>
        <v>BASE</v>
      </c>
      <c r="N3461" s="6"/>
      <c r="O3461" s="8" t="str">
        <f>$O$8</f>
        <v>SUPPLEMENTAL</v>
      </c>
      <c r="P3461" s="6"/>
      <c r="Q3461" s="8" t="str">
        <f>$Q$8</f>
        <v>BUDGET</v>
      </c>
    </row>
    <row r="3462" spans="1:17" ht="11.85" customHeight="1" x14ac:dyDescent="0.2">
      <c r="L3462" s="9"/>
      <c r="N3462" s="9"/>
      <c r="P3462" s="9"/>
    </row>
    <row r="3463" spans="1:17" ht="11.85" customHeight="1" x14ac:dyDescent="0.2">
      <c r="A3463" s="3" t="s">
        <v>1484</v>
      </c>
      <c r="C3463" s="2">
        <v>310146</v>
      </c>
      <c r="E3463" s="2">
        <v>332211.46000000002</v>
      </c>
      <c r="G3463" s="2">
        <f>3025+903787.94+467950</f>
        <v>1374762.94</v>
      </c>
      <c r="I3463" s="2">
        <v>290000</v>
      </c>
      <c r="K3463" s="2">
        <f>293025+730000+66325</f>
        <v>1089350</v>
      </c>
      <c r="L3463" s="9"/>
      <c r="M3463" s="2">
        <v>0</v>
      </c>
      <c r="N3463" s="9"/>
      <c r="O3463" s="2">
        <v>0</v>
      </c>
      <c r="P3463" s="9"/>
      <c r="Q3463" s="2">
        <f>M3463+O3463</f>
        <v>0</v>
      </c>
    </row>
    <row r="3464" spans="1:17" ht="11.85" customHeight="1" x14ac:dyDescent="0.2">
      <c r="A3464" s="3" t="s">
        <v>1485</v>
      </c>
      <c r="C3464" s="12">
        <v>0</v>
      </c>
      <c r="E3464" s="12">
        <v>0</v>
      </c>
      <c r="G3464" s="12">
        <v>7735</v>
      </c>
      <c r="I3464" s="12">
        <v>90000</v>
      </c>
      <c r="K3464" s="12">
        <f>90000+38600</f>
        <v>128600</v>
      </c>
      <c r="L3464" s="9"/>
      <c r="M3464" s="12">
        <v>100000</v>
      </c>
      <c r="N3464" s="9"/>
      <c r="O3464" s="12">
        <v>0</v>
      </c>
      <c r="P3464" s="9"/>
      <c r="Q3464" s="12">
        <f>M3464+O3464</f>
        <v>100000</v>
      </c>
    </row>
    <row r="3465" spans="1:17" ht="11.85" hidden="1" customHeight="1" x14ac:dyDescent="0.2">
      <c r="A3465" s="3" t="s">
        <v>1486</v>
      </c>
      <c r="C3465" s="12">
        <v>0</v>
      </c>
      <c r="E3465" s="12">
        <v>0</v>
      </c>
      <c r="G3465" s="12">
        <v>0</v>
      </c>
      <c r="I3465" s="12">
        <v>0</v>
      </c>
      <c r="K3465" s="12">
        <v>0</v>
      </c>
      <c r="L3465" s="9"/>
      <c r="M3465" s="12">
        <v>0</v>
      </c>
      <c r="N3465" s="9"/>
      <c r="O3465" s="12">
        <v>0</v>
      </c>
      <c r="P3465" s="9"/>
      <c r="Q3465" s="12">
        <f>M3465+O3465</f>
        <v>0</v>
      </c>
    </row>
    <row r="3466" spans="1:17" ht="11.85" customHeight="1" x14ac:dyDescent="0.2">
      <c r="A3466" s="3" t="s">
        <v>331</v>
      </c>
      <c r="C3466" s="2">
        <f>SUM(C3463:C3465)</f>
        <v>310146</v>
      </c>
      <c r="E3466" s="2">
        <f>SUM(E3463:E3465)</f>
        <v>332211.46000000002</v>
      </c>
      <c r="G3466" s="2">
        <f>SUM(G3463:G3465)</f>
        <v>1382497.94</v>
      </c>
      <c r="I3466" s="2">
        <f>SUM(I3463:I3465)</f>
        <v>380000</v>
      </c>
      <c r="K3466" s="2">
        <f>SUM(K3463:K3465)</f>
        <v>1217950</v>
      </c>
      <c r="L3466" s="9"/>
      <c r="M3466" s="2">
        <f>SUM(M3463:M3465)</f>
        <v>100000</v>
      </c>
      <c r="N3466" s="9"/>
      <c r="O3466" s="2">
        <f>SUM(O3463:O3465)</f>
        <v>0</v>
      </c>
      <c r="P3466" s="9"/>
      <c r="Q3466" s="2">
        <f>SUM(Q3463:Q3465)</f>
        <v>100000</v>
      </c>
    </row>
    <row r="3467" spans="1:17" ht="11.85" customHeight="1" x14ac:dyDescent="0.2">
      <c r="L3467" s="9"/>
      <c r="N3467" s="9"/>
      <c r="P3467" s="9"/>
    </row>
    <row r="3468" spans="1:17" ht="11.85" customHeight="1" x14ac:dyDescent="0.2">
      <c r="A3468" s="10" t="s">
        <v>1016</v>
      </c>
      <c r="L3468" s="9"/>
      <c r="N3468" s="9"/>
      <c r="P3468" s="9"/>
    </row>
    <row r="3469" spans="1:17" ht="11.85" hidden="1" customHeight="1" x14ac:dyDescent="0.2">
      <c r="A3469" s="3" t="s">
        <v>1487</v>
      </c>
      <c r="C3469" s="2">
        <v>0</v>
      </c>
      <c r="E3469" s="2">
        <v>0</v>
      </c>
      <c r="G3469" s="2">
        <v>0</v>
      </c>
      <c r="I3469" s="2">
        <v>0</v>
      </c>
      <c r="K3469" s="2">
        <v>0</v>
      </c>
      <c r="L3469" s="9"/>
      <c r="M3469" s="2">
        <v>0</v>
      </c>
      <c r="N3469" s="9"/>
      <c r="O3469" s="2">
        <v>0</v>
      </c>
      <c r="P3469" s="9"/>
      <c r="Q3469" s="2">
        <f>M3469+O3469</f>
        <v>0</v>
      </c>
    </row>
    <row r="3470" spans="1:17" ht="11.85" customHeight="1" x14ac:dyDescent="0.2">
      <c r="A3470" s="3" t="s">
        <v>1488</v>
      </c>
      <c r="C3470" s="12">
        <v>0</v>
      </c>
      <c r="E3470" s="12">
        <v>0</v>
      </c>
      <c r="G3470" s="12">
        <v>0</v>
      </c>
      <c r="I3470" s="12">
        <v>50000</v>
      </c>
      <c r="K3470" s="12">
        <v>50000</v>
      </c>
      <c r="L3470" s="9"/>
      <c r="M3470" s="12">
        <v>50000</v>
      </c>
      <c r="N3470" s="9"/>
      <c r="O3470" s="12">
        <v>0</v>
      </c>
      <c r="P3470" s="9"/>
      <c r="Q3470" s="12">
        <f>M3470+O3470</f>
        <v>50000</v>
      </c>
    </row>
    <row r="3471" spans="1:17" ht="11.85" hidden="1" customHeight="1" x14ac:dyDescent="0.2">
      <c r="A3471" s="3" t="s">
        <v>1489</v>
      </c>
      <c r="C3471" s="12">
        <v>0</v>
      </c>
      <c r="E3471" s="12">
        <v>0</v>
      </c>
      <c r="G3471" s="12">
        <v>0</v>
      </c>
      <c r="I3471" s="12">
        <v>0</v>
      </c>
      <c r="K3471" s="12">
        <v>0</v>
      </c>
      <c r="L3471" s="9"/>
      <c r="M3471" s="12">
        <v>0</v>
      </c>
      <c r="N3471" s="9"/>
      <c r="O3471" s="12">
        <v>0</v>
      </c>
      <c r="P3471" s="9"/>
      <c r="Q3471" s="12">
        <f>M3471+O3471</f>
        <v>0</v>
      </c>
    </row>
    <row r="3472" spans="1:17" ht="11.85" customHeight="1" x14ac:dyDescent="0.2">
      <c r="A3472" s="3" t="s">
        <v>1018</v>
      </c>
      <c r="C3472" s="2">
        <f>SUM(C3469:C3471)</f>
        <v>0</v>
      </c>
      <c r="E3472" s="2">
        <f>SUM(E3469:E3471)</f>
        <v>0</v>
      </c>
      <c r="G3472" s="2">
        <f>SUM(G3469:G3471)</f>
        <v>0</v>
      </c>
      <c r="I3472" s="2">
        <f>SUM(I3469:I3471)</f>
        <v>50000</v>
      </c>
      <c r="K3472" s="2">
        <f>SUM(K3469:K3471)</f>
        <v>50000</v>
      </c>
      <c r="L3472" s="9"/>
      <c r="M3472" s="2">
        <f>SUM(M3469:M3471)</f>
        <v>50000</v>
      </c>
      <c r="N3472" s="9"/>
      <c r="O3472" s="2">
        <f>SUM(O3469:O3471)</f>
        <v>0</v>
      </c>
      <c r="P3472" s="9"/>
      <c r="Q3472" s="2">
        <f>SUM(Q3469:Q3471)</f>
        <v>50000</v>
      </c>
    </row>
    <row r="3473" spans="1:33" ht="11.85" customHeight="1" x14ac:dyDescent="0.2">
      <c r="L3473" s="9"/>
      <c r="N3473" s="9"/>
      <c r="P3473" s="9"/>
    </row>
    <row r="3474" spans="1:33" ht="11.85" customHeight="1" x14ac:dyDescent="0.2">
      <c r="A3474" s="10" t="s">
        <v>332</v>
      </c>
      <c r="L3474" s="9"/>
      <c r="N3474" s="9"/>
      <c r="P3474" s="9"/>
    </row>
    <row r="3475" spans="1:33" ht="11.85" customHeight="1" x14ac:dyDescent="0.2">
      <c r="A3475" s="3" t="s">
        <v>1490</v>
      </c>
      <c r="C3475" s="2">
        <v>371090.92</v>
      </c>
      <c r="E3475" s="2">
        <v>377261.66</v>
      </c>
      <c r="G3475" s="2">
        <v>287120.21999999997</v>
      </c>
      <c r="I3475" s="2">
        <v>255350</v>
      </c>
      <c r="K3475" s="2">
        <v>255350</v>
      </c>
      <c r="L3475" s="9"/>
      <c r="M3475" s="2">
        <v>235700</v>
      </c>
      <c r="N3475" s="9"/>
      <c r="O3475" s="2">
        <v>0</v>
      </c>
      <c r="P3475" s="9"/>
      <c r="Q3475" s="2">
        <f t="shared" ref="Q3475:Q3483" si="101">M3475+O3475</f>
        <v>235700</v>
      </c>
      <c r="T3475" s="11"/>
    </row>
    <row r="3476" spans="1:33" ht="11.85" customHeight="1" x14ac:dyDescent="0.2">
      <c r="A3476" s="3" t="s">
        <v>1491</v>
      </c>
      <c r="C3476" s="2">
        <v>0</v>
      </c>
      <c r="E3476" s="2">
        <v>0</v>
      </c>
      <c r="G3476" s="2">
        <v>0</v>
      </c>
      <c r="I3476" s="2">
        <v>0</v>
      </c>
      <c r="K3476" s="2">
        <v>86755</v>
      </c>
      <c r="L3476" s="9"/>
      <c r="M3476" s="2">
        <v>100000</v>
      </c>
      <c r="N3476" s="9"/>
      <c r="O3476" s="2">
        <v>0</v>
      </c>
      <c r="P3476" s="9"/>
      <c r="Q3476" s="2">
        <f t="shared" si="101"/>
        <v>100000</v>
      </c>
    </row>
    <row r="3477" spans="1:33" ht="11.85" hidden="1" customHeight="1" x14ac:dyDescent="0.2">
      <c r="A3477" s="3" t="s">
        <v>1492</v>
      </c>
      <c r="C3477" s="2">
        <v>0</v>
      </c>
      <c r="E3477" s="2">
        <v>0</v>
      </c>
      <c r="G3477" s="2">
        <v>0</v>
      </c>
      <c r="I3477" s="2">
        <v>0</v>
      </c>
      <c r="K3477" s="2">
        <v>0</v>
      </c>
      <c r="L3477" s="9"/>
      <c r="M3477" s="2">
        <v>0</v>
      </c>
      <c r="N3477" s="9"/>
      <c r="O3477" s="2">
        <v>0</v>
      </c>
      <c r="P3477" s="9"/>
      <c r="Q3477" s="2">
        <f t="shared" si="101"/>
        <v>0</v>
      </c>
    </row>
    <row r="3478" spans="1:33" ht="11.85" hidden="1" customHeight="1" x14ac:dyDescent="0.2">
      <c r="A3478" s="3" t="s">
        <v>1493</v>
      </c>
      <c r="C3478" s="2">
        <v>0</v>
      </c>
      <c r="E3478" s="2">
        <v>0</v>
      </c>
      <c r="G3478" s="2">
        <v>0</v>
      </c>
      <c r="I3478" s="2">
        <v>0</v>
      </c>
      <c r="K3478" s="2">
        <v>0</v>
      </c>
      <c r="L3478" s="9"/>
      <c r="N3478" s="9"/>
      <c r="O3478" s="2">
        <v>0</v>
      </c>
      <c r="P3478" s="9"/>
      <c r="Q3478" s="2">
        <f t="shared" si="101"/>
        <v>0</v>
      </c>
    </row>
    <row r="3479" spans="1:33" ht="11.85" hidden="1" customHeight="1" x14ac:dyDescent="0.2">
      <c r="A3479" s="3" t="s">
        <v>1494</v>
      </c>
      <c r="C3479" s="2">
        <v>0</v>
      </c>
      <c r="E3479" s="2">
        <v>0</v>
      </c>
      <c r="G3479" s="2">
        <v>0</v>
      </c>
      <c r="I3479" s="2">
        <v>0</v>
      </c>
      <c r="K3479" s="2">
        <v>0</v>
      </c>
      <c r="L3479" s="9"/>
      <c r="M3479" s="2">
        <v>0</v>
      </c>
      <c r="N3479" s="9"/>
      <c r="O3479" s="2">
        <v>0</v>
      </c>
      <c r="P3479" s="9"/>
      <c r="Q3479" s="2">
        <f t="shared" si="101"/>
        <v>0</v>
      </c>
      <c r="T3479" s="45"/>
    </row>
    <row r="3480" spans="1:33" ht="11.85" hidden="1" customHeight="1" x14ac:dyDescent="0.2">
      <c r="A3480" s="3" t="s">
        <v>1495</v>
      </c>
      <c r="C3480" s="2">
        <v>0</v>
      </c>
      <c r="E3480" s="2">
        <v>0</v>
      </c>
      <c r="G3480" s="2">
        <v>0</v>
      </c>
      <c r="I3480" s="2">
        <v>0</v>
      </c>
      <c r="K3480" s="2">
        <v>0</v>
      </c>
      <c r="L3480" s="9"/>
      <c r="M3480" s="2">
        <v>0</v>
      </c>
      <c r="N3480" s="9"/>
      <c r="O3480" s="2">
        <v>0</v>
      </c>
      <c r="P3480" s="9"/>
      <c r="Q3480" s="2">
        <f t="shared" si="101"/>
        <v>0</v>
      </c>
      <c r="R3480" s="46"/>
      <c r="S3480" s="16"/>
    </row>
    <row r="3481" spans="1:33" ht="11.85" customHeight="1" x14ac:dyDescent="0.2">
      <c r="A3481" s="3" t="s">
        <v>1496</v>
      </c>
      <c r="C3481" s="2">
        <v>330000</v>
      </c>
      <c r="E3481" s="2">
        <v>330000</v>
      </c>
      <c r="G3481" s="2">
        <v>330000</v>
      </c>
      <c r="I3481" s="2">
        <v>1330000</v>
      </c>
      <c r="K3481" s="2">
        <f>1330000-1000000</f>
        <v>330000</v>
      </c>
      <c r="L3481" s="9"/>
      <c r="M3481" s="2">
        <v>1057000</v>
      </c>
      <c r="N3481" s="9"/>
      <c r="O3481" s="2">
        <v>5000</v>
      </c>
      <c r="P3481" s="9"/>
      <c r="Q3481" s="2">
        <f>M3481+O3481</f>
        <v>1062000</v>
      </c>
      <c r="R3481" s="15"/>
      <c r="S3481" s="16"/>
    </row>
    <row r="3482" spans="1:33" ht="11.85" customHeight="1" x14ac:dyDescent="0.2">
      <c r="A3482" s="3" t="s">
        <v>1497</v>
      </c>
      <c r="C3482" s="12">
        <v>189996</v>
      </c>
      <c r="E3482" s="12">
        <v>200004</v>
      </c>
      <c r="G3482" s="12">
        <v>170000</v>
      </c>
      <c r="I3482" s="12">
        <v>215000</v>
      </c>
      <c r="K3482" s="12">
        <v>215000</v>
      </c>
      <c r="L3482" s="9"/>
      <c r="M3482" s="12">
        <v>95000</v>
      </c>
      <c r="N3482" s="9"/>
      <c r="O3482" s="12">
        <v>0</v>
      </c>
      <c r="P3482" s="9"/>
      <c r="Q3482" s="12">
        <f t="shared" si="101"/>
        <v>95000</v>
      </c>
      <c r="R3482" s="15"/>
      <c r="S3482" s="16"/>
    </row>
    <row r="3483" spans="1:33" ht="11.85" hidden="1" customHeight="1" x14ac:dyDescent="0.2">
      <c r="A3483" s="3" t="s">
        <v>1498</v>
      </c>
      <c r="C3483" s="12">
        <v>0</v>
      </c>
      <c r="E3483" s="12">
        <v>0</v>
      </c>
      <c r="G3483" s="12">
        <v>0</v>
      </c>
      <c r="I3483" s="12">
        <v>0</v>
      </c>
      <c r="K3483" s="12">
        <v>0</v>
      </c>
      <c r="L3483" s="9"/>
      <c r="M3483" s="12">
        <v>0</v>
      </c>
      <c r="N3483" s="9"/>
      <c r="O3483" s="12">
        <v>0</v>
      </c>
      <c r="P3483" s="9"/>
      <c r="Q3483" s="12">
        <f t="shared" si="101"/>
        <v>0</v>
      </c>
      <c r="R3483" s="9"/>
    </row>
    <row r="3484" spans="1:33" ht="11.85" customHeight="1" x14ac:dyDescent="0.2">
      <c r="A3484" s="3" t="s">
        <v>336</v>
      </c>
      <c r="C3484" s="2">
        <f>SUM(C3475:C3483)</f>
        <v>891086.91999999993</v>
      </c>
      <c r="E3484" s="2">
        <f>SUM(E3475:E3483)</f>
        <v>907265.65999999992</v>
      </c>
      <c r="G3484" s="2">
        <f>SUM(G3475:G3483)</f>
        <v>787120.22</v>
      </c>
      <c r="I3484" s="2">
        <f>SUM(I3475:I3483)</f>
        <v>1800350</v>
      </c>
      <c r="K3484" s="2">
        <f>SUM(K3475:K3483)</f>
        <v>887105</v>
      </c>
      <c r="L3484" s="9"/>
      <c r="M3484" s="2">
        <f>SUM(M3475:M3483)</f>
        <v>1487700</v>
      </c>
      <c r="N3484" s="9"/>
      <c r="O3484" s="2">
        <f>SUM(O3475:O3483)</f>
        <v>5000</v>
      </c>
      <c r="P3484" s="9"/>
      <c r="Q3484" s="2">
        <f>SUM(Q3475:Q3483)</f>
        <v>1492700</v>
      </c>
      <c r="R3484" s="9"/>
      <c r="U3484" s="2"/>
    </row>
    <row r="3485" spans="1:33" ht="11.85" customHeight="1" x14ac:dyDescent="0.2">
      <c r="L3485" s="9"/>
      <c r="N3485" s="9"/>
      <c r="P3485" s="9"/>
      <c r="T3485" s="11"/>
    </row>
    <row r="3486" spans="1:33" ht="11.85" customHeight="1" x14ac:dyDescent="0.2">
      <c r="A3486" s="3" t="s">
        <v>1499</v>
      </c>
      <c r="C3486" s="2">
        <f>C3405+C3426+C3452+C3466+C3472+C3484</f>
        <v>2481401.36</v>
      </c>
      <c r="E3486" s="2">
        <f>E3405+E3426+E3452+E3466+E3472+E3484</f>
        <v>2725972.5300000003</v>
      </c>
      <c r="G3486" s="2">
        <f>G3405+G3426+G3452+G3466+G3472+G3484</f>
        <v>3365315.1399999997</v>
      </c>
      <c r="I3486" s="2">
        <f>I3405+I3426+I3452+I3466+I3472+I3484</f>
        <v>3603529</v>
      </c>
      <c r="K3486" s="2">
        <f>K3405+K3426+K3452+K3466+K3472+K3484</f>
        <v>3597780</v>
      </c>
      <c r="L3486" s="9"/>
      <c r="M3486" s="2">
        <f>M3405+M3426+M3452+M3466+M3472+M3484</f>
        <v>3004394</v>
      </c>
      <c r="N3486" s="9"/>
      <c r="O3486" s="2">
        <f>O3405+O3426+O3452+O3466+O3472+O3484</f>
        <v>5000</v>
      </c>
      <c r="P3486" s="9"/>
      <c r="Q3486" s="2">
        <f>Q3405+Q3426+Q3452+Q3466+Q3472+Q3484</f>
        <v>3009394</v>
      </c>
      <c r="R3486" s="9"/>
      <c r="T3486" s="11"/>
      <c r="U3486" s="13"/>
      <c r="V3486" s="9"/>
      <c r="AG3486" s="2"/>
    </row>
    <row r="3487" spans="1:33" ht="11.85" customHeight="1" x14ac:dyDescent="0.2"/>
    <row r="3488" spans="1:33" ht="11.85" customHeight="1" x14ac:dyDescent="0.2">
      <c r="R3488" s="9"/>
    </row>
    <row r="3489" spans="18:18" ht="11.85" customHeight="1" x14ac:dyDescent="0.2">
      <c r="R3489" s="9"/>
    </row>
    <row r="3490" spans="18:18" ht="11.85" customHeight="1" x14ac:dyDescent="0.2"/>
    <row r="3491" spans="18:18" ht="11.85" customHeight="1" x14ac:dyDescent="0.2"/>
    <row r="3492" spans="18:18" ht="11.85" customHeight="1" x14ac:dyDescent="0.2"/>
    <row r="3493" spans="18:18" ht="11.85" customHeight="1" x14ac:dyDescent="0.2"/>
    <row r="3494" spans="18:18" ht="11.85" customHeight="1" x14ac:dyDescent="0.2"/>
    <row r="3495" spans="18:18" ht="11.85" customHeight="1" x14ac:dyDescent="0.2"/>
    <row r="3496" spans="18:18" ht="11.85" customHeight="1" x14ac:dyDescent="0.2"/>
    <row r="3497" spans="18:18" ht="11.85" customHeight="1" x14ac:dyDescent="0.2"/>
    <row r="3498" spans="18:18" ht="11.85" customHeight="1" x14ac:dyDescent="0.2"/>
    <row r="3499" spans="18:18" ht="11.85" customHeight="1" x14ac:dyDescent="0.2"/>
    <row r="3500" spans="18:18" ht="11.85" customHeight="1" x14ac:dyDescent="0.2"/>
    <row r="3501" spans="18:18" ht="11.85" customHeight="1" x14ac:dyDescent="0.2"/>
    <row r="3502" spans="18:18" ht="11.45" customHeight="1" x14ac:dyDescent="0.2"/>
    <row r="3503" spans="18:18" ht="11.85" customHeight="1" x14ac:dyDescent="0.2"/>
    <row r="3504" spans="18:18" ht="11.85" customHeight="1" x14ac:dyDescent="0.2"/>
    <row r="3505" ht="11.85" customHeight="1" x14ac:dyDescent="0.2"/>
    <row r="3506" ht="11.85" customHeight="1" x14ac:dyDescent="0.2"/>
    <row r="3507" ht="11.85" customHeight="1" x14ac:dyDescent="0.2"/>
    <row r="3508" ht="11.85" customHeight="1" x14ac:dyDescent="0.2"/>
    <row r="3509" ht="11.85" customHeight="1" x14ac:dyDescent="0.2"/>
    <row r="3510" ht="11.85" customHeight="1" x14ac:dyDescent="0.2"/>
    <row r="3511" ht="11.85" customHeight="1" x14ac:dyDescent="0.2"/>
    <row r="3512" ht="11.85" customHeight="1" x14ac:dyDescent="0.2"/>
    <row r="3513" ht="11.85" customHeight="1" x14ac:dyDescent="0.2"/>
    <row r="3514" ht="11.85" customHeight="1" x14ac:dyDescent="0.2"/>
    <row r="3515" ht="11.85" customHeight="1" x14ac:dyDescent="0.2"/>
    <row r="3516" ht="11.85" customHeight="1" x14ac:dyDescent="0.2"/>
    <row r="3517" ht="11.85" customHeight="1" x14ac:dyDescent="0.2"/>
    <row r="3518" ht="11.85" customHeight="1" x14ac:dyDescent="0.2"/>
    <row r="3519" ht="11.85" customHeight="1" x14ac:dyDescent="0.2"/>
    <row r="3520" ht="11.85" customHeight="1" x14ac:dyDescent="0.2"/>
    <row r="3521" spans="1:21" ht="11.85" customHeight="1" x14ac:dyDescent="0.2">
      <c r="A3521" s="1"/>
      <c r="B3521" s="1"/>
      <c r="E3521" s="2" t="str">
        <f>$E$1</f>
        <v>CITY OF BRADY</v>
      </c>
    </row>
    <row r="3522" spans="1:21" ht="11.85" customHeight="1" x14ac:dyDescent="0.2">
      <c r="E3522" s="2" t="str">
        <f>$E$2</f>
        <v>BUDGET REPORT</v>
      </c>
    </row>
    <row r="3523" spans="1:21" ht="11.85" customHeight="1" x14ac:dyDescent="0.2">
      <c r="E3523" s="2" t="str">
        <f>$E$3</f>
        <v>FISCAL YEAR 2024 - 2025</v>
      </c>
    </row>
    <row r="3524" spans="1:21" ht="11.85" customHeight="1" x14ac:dyDescent="0.2">
      <c r="A3524" s="3" t="s">
        <v>1306</v>
      </c>
    </row>
    <row r="3525" spans="1:21" ht="11.85" customHeight="1" x14ac:dyDescent="0.2">
      <c r="A3525" s="3" t="s">
        <v>1500</v>
      </c>
    </row>
    <row r="3526" spans="1:21" ht="11.85" customHeight="1" x14ac:dyDescent="0.2">
      <c r="I3526" s="53" t="str">
        <f>$I$6</f>
        <v>(----- 2023-2024------)</v>
      </c>
      <c r="J3526" s="53"/>
      <c r="K3526" s="53"/>
      <c r="L3526" s="6"/>
      <c r="M3526" s="54" t="str">
        <f>$M$6</f>
        <v>2024-2025</v>
      </c>
      <c r="N3526" s="54"/>
      <c r="O3526" s="54"/>
      <c r="P3526" s="54"/>
      <c r="Q3526" s="54"/>
    </row>
    <row r="3527" spans="1:21" ht="11.85" customHeight="1" x14ac:dyDescent="0.2">
      <c r="C3527" s="5" t="str">
        <f>$C$7</f>
        <v>2020-2021</v>
      </c>
      <c r="D3527" s="5"/>
      <c r="E3527" s="5" t="str">
        <f>$E$7</f>
        <v>2021-2022</v>
      </c>
      <c r="F3527" s="5"/>
      <c r="G3527" s="5" t="str">
        <f>$G$7</f>
        <v>2022-2023</v>
      </c>
      <c r="H3527" s="5"/>
      <c r="I3527" s="5" t="s">
        <v>9</v>
      </c>
      <c r="J3527" s="5"/>
      <c r="K3527" s="5" t="str">
        <f>+$K$7</f>
        <v>PROJECTED</v>
      </c>
      <c r="L3527" s="6"/>
      <c r="M3527" s="5">
        <f>$M$7</f>
        <v>0</v>
      </c>
      <c r="N3527" s="6"/>
      <c r="O3527" s="5" t="str">
        <f>$O$7</f>
        <v>2024-2025</v>
      </c>
      <c r="P3527" s="6"/>
      <c r="Q3527" s="5" t="str">
        <f>$Q$7</f>
        <v>APPROVED</v>
      </c>
    </row>
    <row r="3528" spans="1:21" ht="11.85" customHeight="1" x14ac:dyDescent="0.2">
      <c r="A3528" s="7" t="s">
        <v>273</v>
      </c>
      <c r="C3528" s="8" t="s">
        <v>12</v>
      </c>
      <c r="D3528" s="5"/>
      <c r="E3528" s="8" t="s">
        <v>12</v>
      </c>
      <c r="F3528" s="5"/>
      <c r="G3528" s="8" t="s">
        <v>12</v>
      </c>
      <c r="H3528" s="5"/>
      <c r="I3528" s="8" t="s">
        <v>13</v>
      </c>
      <c r="J3528" s="5"/>
      <c r="K3528" s="8" t="s">
        <v>13</v>
      </c>
      <c r="L3528" s="6"/>
      <c r="M3528" s="8" t="str">
        <f>$M$8</f>
        <v>BASE</v>
      </c>
      <c r="N3528" s="6"/>
      <c r="O3528" s="8" t="str">
        <f>$O$8</f>
        <v>SUPPLEMENTAL</v>
      </c>
      <c r="P3528" s="6"/>
      <c r="Q3528" s="8" t="str">
        <f>$Q$8</f>
        <v>BUDGET</v>
      </c>
    </row>
    <row r="3529" spans="1:21" ht="11.85" customHeight="1" x14ac:dyDescent="0.2"/>
    <row r="3530" spans="1:21" ht="11.85" customHeight="1" x14ac:dyDescent="0.2">
      <c r="A3530" s="10" t="s">
        <v>286</v>
      </c>
      <c r="L3530" s="9"/>
      <c r="N3530" s="9"/>
      <c r="P3530" s="9"/>
    </row>
    <row r="3531" spans="1:21" ht="11.85" customHeight="1" x14ac:dyDescent="0.2">
      <c r="A3531" s="3" t="s">
        <v>1501</v>
      </c>
      <c r="C3531" s="2">
        <v>0</v>
      </c>
      <c r="E3531" s="2">
        <v>0</v>
      </c>
      <c r="G3531" s="2">
        <v>0</v>
      </c>
      <c r="I3531" s="2">
        <v>0</v>
      </c>
      <c r="K3531" s="2">
        <v>0</v>
      </c>
      <c r="L3531" s="9"/>
      <c r="M3531" s="2">
        <v>0</v>
      </c>
      <c r="N3531" s="9"/>
      <c r="O3531" s="2">
        <v>0</v>
      </c>
      <c r="P3531" s="9"/>
      <c r="Q3531" s="2">
        <f t="shared" ref="Q3531:Q3536" si="102">M3531+O3531</f>
        <v>0</v>
      </c>
      <c r="T3531" s="11"/>
      <c r="U3531" s="9"/>
    </row>
    <row r="3532" spans="1:21" ht="11.85" customHeight="1" x14ac:dyDescent="0.2">
      <c r="A3532" s="3" t="s">
        <v>1502</v>
      </c>
      <c r="C3532" s="2">
        <v>0</v>
      </c>
      <c r="E3532" s="2">
        <v>0</v>
      </c>
      <c r="G3532" s="2">
        <v>0</v>
      </c>
      <c r="I3532" s="2">
        <v>0</v>
      </c>
      <c r="K3532" s="2">
        <v>0</v>
      </c>
      <c r="L3532" s="9"/>
      <c r="M3532" s="2">
        <v>0</v>
      </c>
      <c r="N3532" s="9"/>
      <c r="O3532" s="2">
        <v>0</v>
      </c>
      <c r="P3532" s="9"/>
      <c r="Q3532" s="2">
        <f t="shared" si="102"/>
        <v>0</v>
      </c>
      <c r="T3532" s="11"/>
      <c r="U3532" s="9"/>
    </row>
    <row r="3533" spans="1:21" ht="11.85" customHeight="1" x14ac:dyDescent="0.2">
      <c r="A3533" s="3" t="s">
        <v>1503</v>
      </c>
      <c r="C3533" s="2">
        <v>290</v>
      </c>
      <c r="E3533" s="2">
        <v>0</v>
      </c>
      <c r="G3533" s="2">
        <v>0</v>
      </c>
      <c r="I3533" s="2">
        <v>0</v>
      </c>
      <c r="K3533" s="2">
        <v>0</v>
      </c>
      <c r="L3533" s="9"/>
      <c r="M3533" s="2">
        <v>0</v>
      </c>
      <c r="N3533" s="9"/>
      <c r="O3533" s="2">
        <v>0</v>
      </c>
      <c r="P3533" s="9"/>
      <c r="Q3533" s="2">
        <f t="shared" si="102"/>
        <v>0</v>
      </c>
      <c r="T3533" s="11"/>
    </row>
    <row r="3534" spans="1:21" ht="11.85" customHeight="1" x14ac:dyDescent="0.2">
      <c r="A3534" s="3" t="s">
        <v>1504</v>
      </c>
      <c r="C3534" s="2">
        <v>0</v>
      </c>
      <c r="E3534" s="2">
        <v>0</v>
      </c>
      <c r="G3534" s="2">
        <v>0</v>
      </c>
      <c r="I3534" s="2">
        <v>0</v>
      </c>
      <c r="K3534" s="2">
        <v>0</v>
      </c>
      <c r="L3534" s="9"/>
      <c r="M3534" s="2">
        <v>0</v>
      </c>
      <c r="N3534" s="9"/>
      <c r="O3534" s="2">
        <v>0</v>
      </c>
      <c r="P3534" s="9"/>
      <c r="Q3534" s="2">
        <f t="shared" si="102"/>
        <v>0</v>
      </c>
      <c r="T3534" s="11"/>
      <c r="U3534" s="9"/>
    </row>
    <row r="3535" spans="1:21" ht="11.85" customHeight="1" x14ac:dyDescent="0.2">
      <c r="A3535" s="3" t="s">
        <v>1505</v>
      </c>
      <c r="C3535" s="2">
        <v>0</v>
      </c>
      <c r="E3535" s="2">
        <v>0</v>
      </c>
      <c r="G3535" s="2">
        <v>0</v>
      </c>
      <c r="I3535" s="2">
        <v>0</v>
      </c>
      <c r="K3535" s="2">
        <v>0</v>
      </c>
      <c r="L3535" s="9"/>
      <c r="M3535" s="2">
        <v>0</v>
      </c>
      <c r="N3535" s="9"/>
      <c r="O3535" s="2">
        <v>0</v>
      </c>
      <c r="P3535" s="9"/>
      <c r="Q3535" s="2">
        <f t="shared" si="102"/>
        <v>0</v>
      </c>
      <c r="T3535" s="11"/>
      <c r="U3535" s="9"/>
    </row>
    <row r="3536" spans="1:21" ht="11.85" customHeight="1" x14ac:dyDescent="0.2">
      <c r="A3536" s="3" t="s">
        <v>1506</v>
      </c>
      <c r="C3536" s="12">
        <v>0</v>
      </c>
      <c r="E3536" s="12">
        <v>0</v>
      </c>
      <c r="G3536" s="12">
        <v>0</v>
      </c>
      <c r="I3536" s="12">
        <v>0</v>
      </c>
      <c r="K3536" s="12">
        <v>0</v>
      </c>
      <c r="L3536" s="9"/>
      <c r="M3536" s="12">
        <v>0</v>
      </c>
      <c r="N3536" s="9"/>
      <c r="O3536" s="12">
        <v>0</v>
      </c>
      <c r="P3536" s="9"/>
      <c r="Q3536" s="12">
        <f t="shared" si="102"/>
        <v>0</v>
      </c>
      <c r="T3536" s="11"/>
      <c r="U3536" s="9"/>
    </row>
    <row r="3537" spans="1:22" ht="11.85" hidden="1" customHeight="1" x14ac:dyDescent="0.2">
      <c r="L3537" s="9"/>
      <c r="N3537" s="9"/>
      <c r="P3537" s="9"/>
      <c r="T3537" s="11"/>
      <c r="U3537" s="9"/>
    </row>
    <row r="3538" spans="1:22" ht="11.85" hidden="1" customHeight="1" x14ac:dyDescent="0.2">
      <c r="L3538" s="9"/>
      <c r="N3538" s="9"/>
      <c r="P3538" s="9"/>
      <c r="T3538" s="11"/>
      <c r="U3538" s="9"/>
    </row>
    <row r="3539" spans="1:22" ht="11.85" hidden="1" customHeight="1" x14ac:dyDescent="0.2">
      <c r="L3539" s="9"/>
      <c r="N3539" s="9"/>
      <c r="P3539" s="9"/>
      <c r="T3539" s="11"/>
      <c r="U3539" s="9"/>
    </row>
    <row r="3540" spans="1:22" ht="11.85" hidden="1" customHeight="1" x14ac:dyDescent="0.2">
      <c r="C3540" s="12">
        <v>0</v>
      </c>
      <c r="E3540" s="12">
        <v>0</v>
      </c>
      <c r="G3540" s="12">
        <v>0</v>
      </c>
      <c r="I3540" s="12">
        <v>0</v>
      </c>
      <c r="K3540" s="12">
        <v>0</v>
      </c>
      <c r="L3540" s="9"/>
      <c r="M3540" s="12">
        <v>0</v>
      </c>
      <c r="N3540" s="9"/>
      <c r="O3540" s="12">
        <v>0</v>
      </c>
      <c r="P3540" s="9"/>
      <c r="Q3540" s="12">
        <f>M3540+O3540</f>
        <v>0</v>
      </c>
      <c r="T3540" s="11"/>
    </row>
    <row r="3541" spans="1:22" ht="11.85" customHeight="1" x14ac:dyDescent="0.2">
      <c r="A3541" s="3" t="s">
        <v>304</v>
      </c>
      <c r="C3541" s="2">
        <f>SUM(C3531:C3540)</f>
        <v>290</v>
      </c>
      <c r="E3541" s="2">
        <f>SUM(E3531:E3540)</f>
        <v>0</v>
      </c>
      <c r="G3541" s="2">
        <f>SUM(G3531:G3540)</f>
        <v>0</v>
      </c>
      <c r="I3541" s="2">
        <f>SUM(I3531:I3540)</f>
        <v>0</v>
      </c>
      <c r="K3541" s="2">
        <f>SUM(K3531:K3540)</f>
        <v>0</v>
      </c>
      <c r="L3541" s="9"/>
      <c r="M3541" s="2">
        <f>SUM(M3531:M3540)</f>
        <v>0</v>
      </c>
      <c r="N3541" s="9"/>
      <c r="O3541" s="2">
        <f>SUM(O3531:O3540)</f>
        <v>0</v>
      </c>
      <c r="P3541" s="9"/>
      <c r="Q3541" s="2">
        <f>SUM(Q3531:Q3540)</f>
        <v>0</v>
      </c>
    </row>
    <row r="3542" spans="1:22" ht="11.85" customHeight="1" x14ac:dyDescent="0.2">
      <c r="L3542" s="9"/>
      <c r="N3542" s="9"/>
      <c r="P3542" s="9"/>
    </row>
    <row r="3543" spans="1:22" ht="11.85" customHeight="1" x14ac:dyDescent="0.2">
      <c r="A3543" s="10" t="s">
        <v>332</v>
      </c>
      <c r="L3543" s="9"/>
      <c r="N3543" s="9"/>
      <c r="P3543" s="9"/>
    </row>
    <row r="3544" spans="1:22" ht="11.85" customHeight="1" x14ac:dyDescent="0.2">
      <c r="A3544" s="3" t="s">
        <v>1507</v>
      </c>
      <c r="C3544" s="12">
        <v>0</v>
      </c>
      <c r="E3544" s="12">
        <v>0</v>
      </c>
      <c r="G3544" s="12">
        <v>0</v>
      </c>
      <c r="I3544" s="12">
        <v>0</v>
      </c>
      <c r="K3544" s="12">
        <v>0</v>
      </c>
      <c r="L3544" s="9"/>
      <c r="M3544" s="12">
        <v>0</v>
      </c>
      <c r="N3544" s="9"/>
      <c r="O3544" s="12">
        <v>0</v>
      </c>
      <c r="P3544" s="9"/>
      <c r="Q3544" s="12">
        <f>M3544+O3544</f>
        <v>0</v>
      </c>
    </row>
    <row r="3545" spans="1:22" ht="11.85" customHeight="1" x14ac:dyDescent="0.2">
      <c r="A3545" s="3" t="s">
        <v>336</v>
      </c>
      <c r="C3545" s="2">
        <f>SUM(C3544:C3544)</f>
        <v>0</v>
      </c>
      <c r="E3545" s="2">
        <f>SUM(E3544:E3544)</f>
        <v>0</v>
      </c>
      <c r="G3545" s="2">
        <f>SUM(G3544:G3544)</f>
        <v>0</v>
      </c>
      <c r="I3545" s="2">
        <f>SUM(I3544:I3544)</f>
        <v>0</v>
      </c>
      <c r="K3545" s="2">
        <f>SUM(K3544:K3544)</f>
        <v>0</v>
      </c>
      <c r="L3545" s="9"/>
      <c r="M3545" s="2">
        <f>SUM(M3544:M3544)</f>
        <v>0</v>
      </c>
      <c r="N3545" s="9"/>
      <c r="O3545" s="2">
        <f>SUM(O3544:O3544)</f>
        <v>0</v>
      </c>
      <c r="P3545" s="9"/>
      <c r="Q3545" s="2">
        <f>SUM(Q3544:Q3544)</f>
        <v>0</v>
      </c>
      <c r="V3545" s="38"/>
    </row>
    <row r="3546" spans="1:22" ht="11.85" customHeight="1" x14ac:dyDescent="0.2">
      <c r="L3546" s="9"/>
      <c r="N3546" s="9"/>
      <c r="P3546" s="9"/>
      <c r="T3546" s="11"/>
    </row>
    <row r="3547" spans="1:22" ht="11.85" customHeight="1" x14ac:dyDescent="0.2">
      <c r="A3547" s="3" t="s">
        <v>1508</v>
      </c>
      <c r="C3547" s="2">
        <f>+C3541+C3545</f>
        <v>290</v>
      </c>
      <c r="E3547" s="2">
        <f>+E3541+E3545</f>
        <v>0</v>
      </c>
      <c r="G3547" s="2">
        <f>+G3541+G3545</f>
        <v>0</v>
      </c>
      <c r="I3547" s="2">
        <f>+I3541+I3545</f>
        <v>0</v>
      </c>
      <c r="K3547" s="2">
        <f>+K3541+K3545</f>
        <v>0</v>
      </c>
      <c r="L3547" s="2"/>
      <c r="M3547" s="2">
        <f>+M3541+M3545</f>
        <v>0</v>
      </c>
      <c r="N3547" s="2"/>
      <c r="O3547" s="2">
        <f>+O3541+O3545</f>
        <v>0</v>
      </c>
      <c r="P3547" s="2"/>
      <c r="Q3547" s="2">
        <f>+Q3541+Q3545</f>
        <v>0</v>
      </c>
      <c r="R3547" s="9"/>
      <c r="U3547" s="13"/>
    </row>
    <row r="3548" spans="1:22" ht="11.85" customHeight="1" x14ac:dyDescent="0.2">
      <c r="L3548" s="9"/>
      <c r="N3548" s="9"/>
      <c r="P3548" s="9"/>
      <c r="T3548" s="11"/>
    </row>
    <row r="3549" spans="1:22" ht="11.85" customHeight="1" x14ac:dyDescent="0.2">
      <c r="L3549" s="9"/>
      <c r="N3549" s="9"/>
      <c r="P3549" s="9"/>
      <c r="T3549" s="11"/>
    </row>
    <row r="3550" spans="1:22" ht="11.85" customHeight="1" x14ac:dyDescent="0.2">
      <c r="L3550" s="9"/>
      <c r="N3550" s="9"/>
      <c r="P3550" s="9"/>
      <c r="T3550" s="11"/>
    </row>
    <row r="3551" spans="1:22" ht="11.85" customHeight="1" x14ac:dyDescent="0.2">
      <c r="L3551" s="9"/>
      <c r="N3551" s="9"/>
      <c r="P3551" s="9"/>
      <c r="T3551" s="11"/>
    </row>
    <row r="3552" spans="1:22" ht="11.85" customHeight="1" x14ac:dyDescent="0.2">
      <c r="L3552" s="9"/>
      <c r="N3552" s="9"/>
      <c r="P3552" s="9"/>
      <c r="T3552" s="11"/>
    </row>
    <row r="3553" spans="1:20" ht="11.85" customHeight="1" x14ac:dyDescent="0.2">
      <c r="L3553" s="9"/>
      <c r="N3553" s="9"/>
      <c r="P3553" s="9"/>
      <c r="T3553" s="11"/>
    </row>
    <row r="3554" spans="1:20" ht="11.85" customHeight="1" x14ac:dyDescent="0.2">
      <c r="L3554" s="9"/>
      <c r="N3554" s="9"/>
      <c r="P3554" s="9"/>
      <c r="T3554" s="11"/>
    </row>
    <row r="3555" spans="1:20" ht="11.85" customHeight="1" x14ac:dyDescent="0.2">
      <c r="A3555" s="1"/>
      <c r="B3555" s="1"/>
      <c r="E3555" s="2" t="str">
        <f>$E$1</f>
        <v>CITY OF BRADY</v>
      </c>
    </row>
    <row r="3556" spans="1:20" ht="11.85" customHeight="1" x14ac:dyDescent="0.2">
      <c r="E3556" s="2" t="str">
        <f>$E$2</f>
        <v>BUDGET REPORT</v>
      </c>
    </row>
    <row r="3557" spans="1:20" ht="11.85" customHeight="1" x14ac:dyDescent="0.2">
      <c r="E3557" s="2" t="str">
        <f>$E$3</f>
        <v>FISCAL YEAR 2024 - 2025</v>
      </c>
    </row>
    <row r="3558" spans="1:20" ht="11.85" customHeight="1" x14ac:dyDescent="0.2">
      <c r="A3558" s="3" t="s">
        <v>1306</v>
      </c>
      <c r="S3558" s="18"/>
    </row>
    <row r="3559" spans="1:20" ht="11.85" customHeight="1" x14ac:dyDescent="0.2">
      <c r="A3559" s="3" t="s">
        <v>1509</v>
      </c>
    </row>
    <row r="3560" spans="1:20" ht="11.85" customHeight="1" x14ac:dyDescent="0.2">
      <c r="I3560" s="53" t="str">
        <f>$I$6</f>
        <v>(----- 2023-2024------)</v>
      </c>
      <c r="J3560" s="53"/>
      <c r="K3560" s="53"/>
      <c r="L3560" s="6"/>
      <c r="M3560" s="54" t="str">
        <f>$M$6</f>
        <v>2024-2025</v>
      </c>
      <c r="N3560" s="54"/>
      <c r="O3560" s="54"/>
      <c r="P3560" s="54"/>
      <c r="Q3560" s="54"/>
    </row>
    <row r="3561" spans="1:20" ht="11.85" customHeight="1" x14ac:dyDescent="0.2">
      <c r="C3561" s="5" t="str">
        <f>$C$7</f>
        <v>2020-2021</v>
      </c>
      <c r="D3561" s="5"/>
      <c r="E3561" s="5" t="str">
        <f>$E$7</f>
        <v>2021-2022</v>
      </c>
      <c r="F3561" s="5"/>
      <c r="G3561" s="5" t="str">
        <f>$G$7</f>
        <v>2022-2023</v>
      </c>
      <c r="H3561" s="5"/>
      <c r="I3561" s="5" t="s">
        <v>9</v>
      </c>
      <c r="J3561" s="5"/>
      <c r="K3561" s="5" t="str">
        <f>+$K$7</f>
        <v>PROJECTED</v>
      </c>
      <c r="L3561" s="6"/>
      <c r="M3561" s="5">
        <f>$M$7</f>
        <v>0</v>
      </c>
      <c r="N3561" s="6"/>
      <c r="O3561" s="5" t="str">
        <f>$O$7</f>
        <v>2024-2025</v>
      </c>
      <c r="P3561" s="6"/>
      <c r="Q3561" s="5" t="str">
        <f>$Q$7</f>
        <v>APPROVED</v>
      </c>
    </row>
    <row r="3562" spans="1:20" ht="11.85" customHeight="1" x14ac:dyDescent="0.2">
      <c r="A3562" s="7" t="s">
        <v>273</v>
      </c>
      <c r="C3562" s="8" t="s">
        <v>12</v>
      </c>
      <c r="D3562" s="5"/>
      <c r="E3562" s="8" t="s">
        <v>12</v>
      </c>
      <c r="F3562" s="5"/>
      <c r="G3562" s="8" t="s">
        <v>12</v>
      </c>
      <c r="H3562" s="5"/>
      <c r="I3562" s="8" t="s">
        <v>13</v>
      </c>
      <c r="J3562" s="5"/>
      <c r="K3562" s="8" t="s">
        <v>13</v>
      </c>
      <c r="L3562" s="6"/>
      <c r="M3562" s="8" t="str">
        <f>$M$8</f>
        <v>BASE</v>
      </c>
      <c r="N3562" s="6"/>
      <c r="O3562" s="8" t="str">
        <f>$O$8</f>
        <v>SUPPLEMENTAL</v>
      </c>
      <c r="P3562" s="6"/>
      <c r="Q3562" s="8" t="str">
        <f>$Q$8</f>
        <v>BUDGET</v>
      </c>
    </row>
    <row r="3563" spans="1:20" ht="11.85" customHeight="1" x14ac:dyDescent="0.2"/>
    <row r="3564" spans="1:20" ht="11.85" customHeight="1" x14ac:dyDescent="0.2">
      <c r="A3564" s="10" t="s">
        <v>274</v>
      </c>
    </row>
    <row r="3565" spans="1:20" ht="11.85" customHeight="1" x14ac:dyDescent="0.2">
      <c r="A3565" s="3" t="s">
        <v>1510</v>
      </c>
      <c r="C3565" s="2">
        <v>0</v>
      </c>
      <c r="E3565" s="2">
        <v>0</v>
      </c>
      <c r="G3565" s="2">
        <v>88438.63</v>
      </c>
      <c r="I3565" s="2">
        <v>105863</v>
      </c>
      <c r="K3565" s="2">
        <v>105863</v>
      </c>
      <c r="L3565" s="9"/>
      <c r="M3565" s="2">
        <v>114511</v>
      </c>
      <c r="N3565" s="9"/>
      <c r="O3565" s="2">
        <v>0</v>
      </c>
      <c r="P3565" s="9"/>
      <c r="Q3565" s="2">
        <f t="shared" ref="Q3565:Q3574" si="103">M3565+O3565</f>
        <v>114511</v>
      </c>
      <c r="T3565" s="11"/>
    </row>
    <row r="3566" spans="1:20" ht="11.85" customHeight="1" x14ac:dyDescent="0.2">
      <c r="A3566" s="3" t="s">
        <v>1511</v>
      </c>
      <c r="C3566" s="2">
        <v>0</v>
      </c>
      <c r="E3566" s="2">
        <v>0</v>
      </c>
      <c r="G3566" s="2">
        <v>439.14</v>
      </c>
      <c r="I3566" s="2">
        <v>4000</v>
      </c>
      <c r="K3566" s="2">
        <v>4000</v>
      </c>
      <c r="L3566" s="9"/>
      <c r="M3566" s="2">
        <v>6500</v>
      </c>
      <c r="N3566" s="9"/>
      <c r="O3566" s="2">
        <v>0</v>
      </c>
      <c r="P3566" s="9"/>
      <c r="Q3566" s="2">
        <f t="shared" si="103"/>
        <v>6500</v>
      </c>
      <c r="T3566" s="11"/>
    </row>
    <row r="3567" spans="1:20" ht="11.85" customHeight="1" x14ac:dyDescent="0.2">
      <c r="A3567" s="3" t="s">
        <v>1512</v>
      </c>
      <c r="C3567" s="2">
        <v>0</v>
      </c>
      <c r="E3567" s="2">
        <v>0</v>
      </c>
      <c r="G3567" s="2">
        <v>2262.5</v>
      </c>
      <c r="I3567" s="2">
        <v>2400</v>
      </c>
      <c r="K3567" s="2">
        <v>2400</v>
      </c>
      <c r="L3567" s="9"/>
      <c r="M3567" s="2">
        <v>2400</v>
      </c>
      <c r="N3567" s="9"/>
      <c r="O3567" s="2">
        <v>0</v>
      </c>
      <c r="P3567" s="9"/>
      <c r="Q3567" s="2">
        <f t="shared" si="103"/>
        <v>2400</v>
      </c>
      <c r="T3567" s="11"/>
    </row>
    <row r="3568" spans="1:20" ht="11.85" customHeight="1" x14ac:dyDescent="0.2">
      <c r="A3568" s="3" t="s">
        <v>1513</v>
      </c>
      <c r="C3568" s="2">
        <v>0</v>
      </c>
      <c r="E3568" s="2">
        <v>0</v>
      </c>
      <c r="G3568" s="2">
        <v>210</v>
      </c>
      <c r="I3568" s="2">
        <v>10950</v>
      </c>
      <c r="K3568" s="2">
        <v>10950</v>
      </c>
      <c r="L3568" s="9"/>
      <c r="M3568" s="2">
        <v>10950</v>
      </c>
      <c r="N3568" s="9"/>
      <c r="O3568" s="2">
        <v>0</v>
      </c>
      <c r="P3568" s="9"/>
      <c r="Q3568" s="2">
        <f t="shared" si="103"/>
        <v>10950</v>
      </c>
      <c r="T3568" s="11"/>
    </row>
    <row r="3569" spans="1:21" ht="11.85" customHeight="1" x14ac:dyDescent="0.2">
      <c r="A3569" s="3" t="s">
        <v>1514</v>
      </c>
      <c r="C3569" s="2">
        <v>0</v>
      </c>
      <c r="E3569" s="2">
        <v>0</v>
      </c>
      <c r="G3569" s="2">
        <v>0</v>
      </c>
      <c r="I3569" s="2">
        <v>300</v>
      </c>
      <c r="K3569" s="2">
        <v>300</v>
      </c>
      <c r="L3569" s="9"/>
      <c r="M3569" s="2">
        <v>300</v>
      </c>
      <c r="N3569" s="9"/>
      <c r="O3569" s="2">
        <v>0</v>
      </c>
      <c r="P3569" s="9"/>
      <c r="Q3569" s="2">
        <f t="shared" si="103"/>
        <v>300</v>
      </c>
      <c r="T3569" s="11"/>
    </row>
    <row r="3570" spans="1:21" ht="11.85" customHeight="1" x14ac:dyDescent="0.2">
      <c r="A3570" s="3" t="s">
        <v>1515</v>
      </c>
      <c r="C3570" s="2">
        <v>0</v>
      </c>
      <c r="E3570" s="2">
        <v>0</v>
      </c>
      <c r="G3570" s="2">
        <v>15954.21</v>
      </c>
      <c r="I3570" s="2">
        <v>22920</v>
      </c>
      <c r="K3570" s="2">
        <v>22920</v>
      </c>
      <c r="L3570" s="9"/>
      <c r="M3570" s="2">
        <v>20283</v>
      </c>
      <c r="N3570" s="9"/>
      <c r="O3570" s="2">
        <v>0</v>
      </c>
      <c r="P3570" s="9"/>
      <c r="Q3570" s="2">
        <f t="shared" si="103"/>
        <v>20283</v>
      </c>
      <c r="T3570" s="11"/>
    </row>
    <row r="3571" spans="1:21" ht="11.85" customHeight="1" x14ac:dyDescent="0.2">
      <c r="A3571" s="3" t="s">
        <v>1516</v>
      </c>
      <c r="C3571" s="2">
        <v>0</v>
      </c>
      <c r="E3571" s="2">
        <v>0</v>
      </c>
      <c r="G3571" s="2">
        <v>8868.2199999999993</v>
      </c>
      <c r="I3571" s="2">
        <v>10940</v>
      </c>
      <c r="K3571" s="2">
        <v>10940</v>
      </c>
      <c r="L3571" s="9"/>
      <c r="M3571" s="2">
        <v>11753</v>
      </c>
      <c r="N3571" s="9"/>
      <c r="O3571" s="2">
        <v>0</v>
      </c>
      <c r="P3571" s="9"/>
      <c r="Q3571" s="2">
        <f t="shared" si="103"/>
        <v>11753</v>
      </c>
      <c r="T3571" s="11"/>
    </row>
    <row r="3572" spans="1:21" ht="11.85" customHeight="1" x14ac:dyDescent="0.2">
      <c r="A3572" s="3" t="s">
        <v>1517</v>
      </c>
      <c r="C3572" s="2">
        <v>0</v>
      </c>
      <c r="E3572" s="2">
        <v>0</v>
      </c>
      <c r="G3572" s="2">
        <v>2868.76</v>
      </c>
      <c r="I3572" s="2">
        <v>3586</v>
      </c>
      <c r="K3572" s="2">
        <v>3586</v>
      </c>
      <c r="L3572" s="9"/>
      <c r="M3572" s="2">
        <v>2411</v>
      </c>
      <c r="N3572" s="9"/>
      <c r="O3572" s="2">
        <v>0</v>
      </c>
      <c r="P3572" s="9"/>
      <c r="Q3572" s="2">
        <f t="shared" si="103"/>
        <v>2411</v>
      </c>
      <c r="T3572" s="11"/>
    </row>
    <row r="3573" spans="1:21" ht="11.85" customHeight="1" x14ac:dyDescent="0.2">
      <c r="A3573" s="3" t="s">
        <v>1518</v>
      </c>
      <c r="C3573" s="2">
        <v>0</v>
      </c>
      <c r="E3573" s="2">
        <v>0</v>
      </c>
      <c r="G3573" s="2">
        <v>19.579999999999998</v>
      </c>
      <c r="I3573" s="2">
        <v>167</v>
      </c>
      <c r="K3573" s="2">
        <v>167</v>
      </c>
      <c r="L3573" s="9"/>
      <c r="M3573" s="2">
        <v>180</v>
      </c>
      <c r="N3573" s="9"/>
      <c r="O3573" s="2">
        <v>0</v>
      </c>
      <c r="P3573" s="9"/>
      <c r="Q3573" s="2">
        <f t="shared" si="103"/>
        <v>180</v>
      </c>
      <c r="T3573" s="11"/>
    </row>
    <row r="3574" spans="1:21" ht="11.85" customHeight="1" x14ac:dyDescent="0.2">
      <c r="A3574" s="3" t="s">
        <v>1519</v>
      </c>
      <c r="C3574" s="12">
        <v>0</v>
      </c>
      <c r="E3574" s="12">
        <v>0</v>
      </c>
      <c r="G3574" s="12">
        <v>6980.29</v>
      </c>
      <c r="I3574" s="12">
        <v>8569</v>
      </c>
      <c r="K3574" s="12">
        <v>8569</v>
      </c>
      <c r="L3574" s="9"/>
      <c r="M3574" s="12">
        <v>9439</v>
      </c>
      <c r="N3574" s="9"/>
      <c r="O3574" s="12">
        <v>0</v>
      </c>
      <c r="P3574" s="9"/>
      <c r="Q3574" s="12">
        <f t="shared" si="103"/>
        <v>9439</v>
      </c>
      <c r="T3574" s="11"/>
    </row>
    <row r="3575" spans="1:21" ht="11.85" customHeight="1" x14ac:dyDescent="0.2">
      <c r="A3575" s="3" t="s">
        <v>285</v>
      </c>
      <c r="C3575" s="2">
        <f>SUM(C3565:C3574)</f>
        <v>0</v>
      </c>
      <c r="E3575" s="2">
        <f>SUM(E3565:E3574)</f>
        <v>0</v>
      </c>
      <c r="G3575" s="2">
        <f>SUM(G3565:G3574)</f>
        <v>126041.33</v>
      </c>
      <c r="I3575" s="2">
        <f>SUM(I3565:I3574)</f>
        <v>169695</v>
      </c>
      <c r="K3575" s="2">
        <f>SUM(K3565:K3574)</f>
        <v>169695</v>
      </c>
      <c r="L3575" s="9"/>
      <c r="M3575" s="2">
        <f>SUM(M3565:M3574)</f>
        <v>178727</v>
      </c>
      <c r="N3575" s="9"/>
      <c r="O3575" s="2">
        <f>SUM(O3565:O3574)</f>
        <v>0</v>
      </c>
      <c r="P3575" s="9"/>
      <c r="Q3575" s="2">
        <f>SUM(Q3565:Q3574)</f>
        <v>178727</v>
      </c>
      <c r="R3575" s="9"/>
      <c r="U3575" s="9"/>
    </row>
    <row r="3576" spans="1:21" ht="11.85" customHeight="1" x14ac:dyDescent="0.2">
      <c r="L3576" s="9"/>
      <c r="N3576" s="9"/>
      <c r="P3576" s="9"/>
    </row>
    <row r="3577" spans="1:21" ht="11.85" customHeight="1" x14ac:dyDescent="0.2">
      <c r="A3577" s="10" t="s">
        <v>286</v>
      </c>
      <c r="L3577" s="9"/>
      <c r="N3577" s="9"/>
      <c r="P3577" s="9"/>
    </row>
    <row r="3578" spans="1:21" ht="11.85" customHeight="1" x14ac:dyDescent="0.2">
      <c r="A3578" s="3" t="s">
        <v>1520</v>
      </c>
      <c r="C3578" s="2">
        <v>0</v>
      </c>
      <c r="E3578" s="2">
        <v>0</v>
      </c>
      <c r="G3578" s="2">
        <v>0</v>
      </c>
      <c r="I3578" s="2">
        <v>0</v>
      </c>
      <c r="K3578" s="2">
        <v>0</v>
      </c>
      <c r="L3578" s="9"/>
      <c r="M3578" s="2">
        <v>0</v>
      </c>
      <c r="N3578" s="9"/>
      <c r="O3578" s="2">
        <v>0</v>
      </c>
      <c r="P3578" s="9"/>
      <c r="Q3578" s="2">
        <f t="shared" ref="Q3578:Q3589" si="104">M3578+O3578</f>
        <v>0</v>
      </c>
      <c r="T3578" s="11"/>
    </row>
    <row r="3579" spans="1:21" ht="11.85" customHeight="1" x14ac:dyDescent="0.2">
      <c r="A3579" s="3" t="s">
        <v>1521</v>
      </c>
      <c r="C3579" s="2">
        <v>0</v>
      </c>
      <c r="E3579" s="2">
        <v>0</v>
      </c>
      <c r="G3579" s="2">
        <v>11816.05</v>
      </c>
      <c r="I3579" s="2">
        <v>11000</v>
      </c>
      <c r="K3579" s="2">
        <v>11000</v>
      </c>
      <c r="L3579" s="9"/>
      <c r="M3579" s="2">
        <v>12000</v>
      </c>
      <c r="N3579" s="9"/>
      <c r="O3579" s="2">
        <v>0</v>
      </c>
      <c r="P3579" s="9"/>
      <c r="Q3579" s="2">
        <f t="shared" si="104"/>
        <v>12000</v>
      </c>
      <c r="T3579" s="11"/>
    </row>
    <row r="3580" spans="1:21" ht="11.85" customHeight="1" x14ac:dyDescent="0.2">
      <c r="A3580" s="3" t="s">
        <v>1522</v>
      </c>
      <c r="C3580" s="2">
        <v>0</v>
      </c>
      <c r="E3580" s="2">
        <v>0</v>
      </c>
      <c r="G3580" s="2">
        <v>0</v>
      </c>
      <c r="I3580" s="2">
        <v>1500</v>
      </c>
      <c r="K3580" s="2">
        <v>1500</v>
      </c>
      <c r="L3580" s="9"/>
      <c r="M3580" s="2">
        <v>1500</v>
      </c>
      <c r="N3580" s="9"/>
      <c r="O3580" s="2">
        <v>0</v>
      </c>
      <c r="P3580" s="9"/>
      <c r="Q3580" s="2">
        <f t="shared" si="104"/>
        <v>1500</v>
      </c>
      <c r="T3580" s="11"/>
    </row>
    <row r="3581" spans="1:21" ht="11.85" customHeight="1" x14ac:dyDescent="0.2">
      <c r="A3581" s="3" t="s">
        <v>1523</v>
      </c>
      <c r="C3581" s="2">
        <v>0</v>
      </c>
      <c r="E3581" s="2">
        <v>0</v>
      </c>
      <c r="G3581" s="2">
        <v>51.38</v>
      </c>
      <c r="I3581" s="2">
        <v>8300</v>
      </c>
      <c r="K3581" s="2">
        <v>8300</v>
      </c>
      <c r="L3581" s="9"/>
      <c r="M3581" s="2">
        <v>10000</v>
      </c>
      <c r="N3581" s="9"/>
      <c r="O3581" s="2">
        <v>0</v>
      </c>
      <c r="P3581" s="9"/>
      <c r="Q3581" s="2">
        <f t="shared" si="104"/>
        <v>10000</v>
      </c>
      <c r="T3581" s="11"/>
    </row>
    <row r="3582" spans="1:21" ht="11.85" customHeight="1" x14ac:dyDescent="0.2">
      <c r="A3582" s="3" t="s">
        <v>1524</v>
      </c>
      <c r="C3582" s="2">
        <v>0</v>
      </c>
      <c r="E3582" s="2">
        <v>0</v>
      </c>
      <c r="G3582" s="2">
        <v>12104.58</v>
      </c>
      <c r="I3582" s="2">
        <v>14000</v>
      </c>
      <c r="K3582" s="2">
        <v>14000</v>
      </c>
      <c r="L3582" s="9"/>
      <c r="M3582" s="2">
        <v>14350</v>
      </c>
      <c r="N3582" s="9"/>
      <c r="O3582" s="2">
        <v>0</v>
      </c>
      <c r="P3582" s="9"/>
      <c r="Q3582" s="2">
        <f t="shared" si="104"/>
        <v>14350</v>
      </c>
      <c r="T3582" s="11"/>
    </row>
    <row r="3583" spans="1:21" ht="11.85" customHeight="1" x14ac:dyDescent="0.2">
      <c r="A3583" s="3" t="s">
        <v>1525</v>
      </c>
      <c r="C3583" s="2">
        <v>0</v>
      </c>
      <c r="E3583" s="2">
        <v>0</v>
      </c>
      <c r="G3583" s="2">
        <v>1216.93</v>
      </c>
      <c r="I3583" s="2">
        <v>1300</v>
      </c>
      <c r="K3583" s="2">
        <v>1300</v>
      </c>
      <c r="L3583" s="9"/>
      <c r="M3583" s="2">
        <v>2600</v>
      </c>
      <c r="N3583" s="9"/>
      <c r="O3583" s="2">
        <v>0</v>
      </c>
      <c r="P3583" s="9"/>
      <c r="Q3583" s="2">
        <f t="shared" si="104"/>
        <v>2600</v>
      </c>
      <c r="T3583" s="11"/>
    </row>
    <row r="3584" spans="1:21" ht="11.85" customHeight="1" x14ac:dyDescent="0.2">
      <c r="A3584" s="3" t="s">
        <v>1526</v>
      </c>
      <c r="C3584" s="2">
        <v>0</v>
      </c>
      <c r="E3584" s="2">
        <v>0</v>
      </c>
      <c r="G3584" s="2">
        <v>0</v>
      </c>
      <c r="I3584" s="2">
        <v>292000</v>
      </c>
      <c r="K3584" s="2">
        <f>287300-8000</f>
        <v>279300</v>
      </c>
      <c r="L3584" s="9"/>
      <c r="M3584" s="2">
        <v>292000</v>
      </c>
      <c r="N3584" s="9"/>
      <c r="O3584" s="2">
        <v>26000</v>
      </c>
      <c r="P3584" s="9"/>
      <c r="Q3584" s="2">
        <f t="shared" si="104"/>
        <v>318000</v>
      </c>
      <c r="T3584" s="11"/>
    </row>
    <row r="3585" spans="1:32" ht="11.85" customHeight="1" x14ac:dyDescent="0.2">
      <c r="A3585" s="3" t="s">
        <v>1527</v>
      </c>
      <c r="C3585" s="2">
        <v>0</v>
      </c>
      <c r="E3585" s="2">
        <v>0</v>
      </c>
      <c r="G3585" s="2">
        <v>0</v>
      </c>
      <c r="I3585" s="2">
        <v>0</v>
      </c>
      <c r="K3585" s="2">
        <v>0</v>
      </c>
      <c r="L3585" s="9"/>
      <c r="M3585" s="2">
        <v>0</v>
      </c>
      <c r="N3585" s="9"/>
      <c r="O3585" s="2">
        <v>0</v>
      </c>
      <c r="P3585" s="9"/>
      <c r="Q3585" s="2">
        <f t="shared" si="104"/>
        <v>0</v>
      </c>
      <c r="T3585" s="11"/>
    </row>
    <row r="3586" spans="1:32" ht="11.85" customHeight="1" x14ac:dyDescent="0.2">
      <c r="A3586" s="3" t="s">
        <v>1528</v>
      </c>
      <c r="C3586" s="2">
        <v>0</v>
      </c>
      <c r="E3586" s="2">
        <v>0</v>
      </c>
      <c r="G3586" s="2">
        <v>292.89999999999998</v>
      </c>
      <c r="I3586" s="2">
        <v>0</v>
      </c>
      <c r="K3586" s="2">
        <v>14700</v>
      </c>
      <c r="L3586" s="9"/>
      <c r="M3586" s="2">
        <v>0</v>
      </c>
      <c r="N3586" s="9"/>
      <c r="O3586" s="2">
        <v>0</v>
      </c>
      <c r="P3586" s="9"/>
      <c r="Q3586" s="2">
        <f t="shared" si="104"/>
        <v>0</v>
      </c>
      <c r="T3586" s="11"/>
    </row>
    <row r="3587" spans="1:32" ht="11.85" customHeight="1" x14ac:dyDescent="0.2">
      <c r="A3587" s="3" t="s">
        <v>1529</v>
      </c>
      <c r="C3587" s="2">
        <v>0</v>
      </c>
      <c r="E3587" s="2">
        <v>0</v>
      </c>
      <c r="G3587" s="2">
        <v>0</v>
      </c>
      <c r="I3587" s="2">
        <v>0</v>
      </c>
      <c r="K3587" s="2">
        <v>0</v>
      </c>
      <c r="L3587" s="9"/>
      <c r="M3587" s="2">
        <v>0</v>
      </c>
      <c r="N3587" s="9"/>
      <c r="O3587" s="2">
        <v>0</v>
      </c>
      <c r="P3587" s="9"/>
      <c r="Q3587" s="2">
        <f t="shared" si="104"/>
        <v>0</v>
      </c>
      <c r="T3587" s="11"/>
    </row>
    <row r="3588" spans="1:32" ht="11.85" customHeight="1" x14ac:dyDescent="0.2">
      <c r="A3588" s="3" t="s">
        <v>1530</v>
      </c>
      <c r="C3588" s="2">
        <v>0</v>
      </c>
      <c r="E3588" s="2">
        <v>0</v>
      </c>
      <c r="G3588" s="2">
        <v>64.400000000000006</v>
      </c>
      <c r="I3588" s="2">
        <v>1000</v>
      </c>
      <c r="K3588" s="2">
        <f>1000+3000</f>
        <v>4000</v>
      </c>
      <c r="L3588" s="9"/>
      <c r="M3588" s="2">
        <v>4000</v>
      </c>
      <c r="N3588" s="9"/>
      <c r="O3588" s="2">
        <v>0</v>
      </c>
      <c r="P3588" s="9"/>
      <c r="Q3588" s="2">
        <f t="shared" si="104"/>
        <v>4000</v>
      </c>
      <c r="T3588" s="11"/>
    </row>
    <row r="3589" spans="1:32" ht="11.85" customHeight="1" x14ac:dyDescent="0.2">
      <c r="A3589" s="3" t="s">
        <v>1531</v>
      </c>
      <c r="C3589" s="12">
        <v>0</v>
      </c>
      <c r="E3589" s="12">
        <v>0</v>
      </c>
      <c r="G3589" s="12">
        <v>0</v>
      </c>
      <c r="I3589" s="12">
        <v>0</v>
      </c>
      <c r="K3589" s="12">
        <v>0</v>
      </c>
      <c r="L3589" s="9"/>
      <c r="M3589" s="12">
        <v>0</v>
      </c>
      <c r="N3589" s="9"/>
      <c r="O3589" s="12">
        <v>0</v>
      </c>
      <c r="P3589" s="9"/>
      <c r="Q3589" s="12">
        <f t="shared" si="104"/>
        <v>0</v>
      </c>
      <c r="T3589" s="11"/>
    </row>
    <row r="3590" spans="1:32" ht="11.85" hidden="1" customHeight="1" x14ac:dyDescent="0.2">
      <c r="A3590" s="3" t="s">
        <v>1532</v>
      </c>
      <c r="C3590" s="2">
        <v>0</v>
      </c>
      <c r="E3590" s="2">
        <v>0</v>
      </c>
      <c r="G3590" s="2">
        <v>0</v>
      </c>
      <c r="I3590" s="2">
        <v>0</v>
      </c>
      <c r="K3590" s="2">
        <v>0</v>
      </c>
      <c r="L3590" s="9"/>
      <c r="M3590" s="2">
        <v>0</v>
      </c>
      <c r="N3590" s="9"/>
      <c r="O3590" s="2">
        <v>0</v>
      </c>
      <c r="P3590" s="9"/>
      <c r="Q3590" s="2">
        <f>M3590+O3590</f>
        <v>0</v>
      </c>
      <c r="T3590" s="11"/>
    </row>
    <row r="3591" spans="1:32" ht="11.85" hidden="1" customHeight="1" x14ac:dyDescent="0.2">
      <c r="A3591" s="3" t="s">
        <v>1533</v>
      </c>
      <c r="C3591" s="2">
        <v>0</v>
      </c>
      <c r="E3591" s="2">
        <v>0</v>
      </c>
      <c r="G3591" s="2">
        <v>0</v>
      </c>
      <c r="I3591" s="2">
        <v>0</v>
      </c>
      <c r="K3591" s="2">
        <v>0</v>
      </c>
      <c r="L3591" s="9"/>
      <c r="M3591" s="2">
        <v>0</v>
      </c>
      <c r="N3591" s="9"/>
      <c r="O3591" s="2">
        <v>0</v>
      </c>
      <c r="P3591" s="9"/>
      <c r="Q3591" s="2">
        <f>M3591+O3591</f>
        <v>0</v>
      </c>
      <c r="T3591" s="11"/>
    </row>
    <row r="3592" spans="1:32" ht="11.85" hidden="1" customHeight="1" x14ac:dyDescent="0.2">
      <c r="A3592" s="3" t="s">
        <v>1534</v>
      </c>
      <c r="C3592" s="12">
        <v>0</v>
      </c>
      <c r="E3592" s="12">
        <v>0</v>
      </c>
      <c r="G3592" s="12">
        <v>0</v>
      </c>
      <c r="I3592" s="12">
        <v>0</v>
      </c>
      <c r="K3592" s="12">
        <v>0</v>
      </c>
      <c r="L3592" s="9"/>
      <c r="M3592" s="12">
        <v>0</v>
      </c>
      <c r="N3592" s="9"/>
      <c r="O3592" s="12">
        <v>0</v>
      </c>
      <c r="P3592" s="9"/>
      <c r="Q3592" s="12">
        <f>M3592+O3592</f>
        <v>0</v>
      </c>
      <c r="T3592" s="11"/>
    </row>
    <row r="3593" spans="1:32" ht="11.85" customHeight="1" x14ac:dyDescent="0.2">
      <c r="A3593" s="3" t="s">
        <v>304</v>
      </c>
      <c r="C3593" s="2">
        <f>SUM(C3578:C3592)</f>
        <v>0</v>
      </c>
      <c r="E3593" s="2">
        <f>SUM(E3578:E3592)</f>
        <v>0</v>
      </c>
      <c r="G3593" s="2">
        <f>SUM(G3578:G3592)</f>
        <v>25546.240000000002</v>
      </c>
      <c r="I3593" s="2">
        <f>SUM(I3578:I3592)</f>
        <v>329100</v>
      </c>
      <c r="K3593" s="2">
        <f>SUM(K3578:K3592)</f>
        <v>334100</v>
      </c>
      <c r="L3593" s="9"/>
      <c r="M3593" s="2">
        <f>SUM(M3578:M3592)</f>
        <v>336450</v>
      </c>
      <c r="N3593" s="9"/>
      <c r="O3593" s="2">
        <f>SUM(O3578:O3592)</f>
        <v>26000</v>
      </c>
      <c r="P3593" s="9"/>
      <c r="Q3593" s="2">
        <f>SUM(Q3578:Q3592)</f>
        <v>362450</v>
      </c>
      <c r="R3593" s="9"/>
    </row>
    <row r="3594" spans="1:32" ht="11.85" customHeight="1" x14ac:dyDescent="0.2"/>
    <row r="3595" spans="1:32" ht="11.85" customHeight="1" x14ac:dyDescent="0.2">
      <c r="A3595" s="10" t="s">
        <v>305</v>
      </c>
    </row>
    <row r="3596" spans="1:32" ht="11.85" customHeight="1" x14ac:dyDescent="0.2">
      <c r="A3596" s="3" t="s">
        <v>1535</v>
      </c>
      <c r="C3596" s="2">
        <v>0</v>
      </c>
      <c r="E3596" s="2">
        <v>0</v>
      </c>
      <c r="G3596" s="2">
        <v>345.46</v>
      </c>
      <c r="I3596" s="2">
        <v>500</v>
      </c>
      <c r="K3596" s="2">
        <v>500</v>
      </c>
      <c r="L3596" s="9"/>
      <c r="M3596" s="2">
        <v>500</v>
      </c>
      <c r="N3596" s="9"/>
      <c r="O3596" s="2">
        <v>0</v>
      </c>
      <c r="P3596" s="9"/>
      <c r="Q3596" s="2">
        <f t="shared" ref="Q3596:Q3608" si="105">M3596+O3596</f>
        <v>500</v>
      </c>
      <c r="T3596" s="11"/>
      <c r="AF3596" s="9"/>
    </row>
    <row r="3597" spans="1:32" ht="11.85" customHeight="1" x14ac:dyDescent="0.2">
      <c r="A3597" s="3" t="s">
        <v>1536</v>
      </c>
      <c r="C3597" s="2">
        <v>0</v>
      </c>
      <c r="E3597" s="2">
        <v>0</v>
      </c>
      <c r="G3597" s="2">
        <v>1015</v>
      </c>
      <c r="I3597" s="2">
        <v>3000</v>
      </c>
      <c r="K3597" s="2">
        <v>3000</v>
      </c>
      <c r="L3597" s="9"/>
      <c r="M3597" s="2">
        <v>3000</v>
      </c>
      <c r="N3597" s="9"/>
      <c r="O3597" s="2">
        <v>0</v>
      </c>
      <c r="P3597" s="9"/>
      <c r="Q3597" s="2">
        <f t="shared" si="105"/>
        <v>3000</v>
      </c>
      <c r="T3597" s="11"/>
      <c r="AF3597" s="9"/>
    </row>
    <row r="3598" spans="1:32" ht="11.85" customHeight="1" x14ac:dyDescent="0.2">
      <c r="A3598" s="3" t="s">
        <v>1537</v>
      </c>
      <c r="C3598" s="2">
        <v>0</v>
      </c>
      <c r="E3598" s="2">
        <v>0</v>
      </c>
      <c r="G3598" s="2">
        <v>270.82</v>
      </c>
      <c r="I3598" s="2">
        <v>1500</v>
      </c>
      <c r="K3598" s="2">
        <f>1500+5000</f>
        <v>6500</v>
      </c>
      <c r="L3598" s="9"/>
      <c r="M3598" s="2">
        <v>2000</v>
      </c>
      <c r="N3598" s="9"/>
      <c r="O3598" s="2">
        <v>0</v>
      </c>
      <c r="P3598" s="9"/>
      <c r="Q3598" s="2">
        <f t="shared" si="105"/>
        <v>2000</v>
      </c>
      <c r="T3598" s="11"/>
      <c r="AF3598" s="9"/>
    </row>
    <row r="3599" spans="1:32" ht="11.85" hidden="1" customHeight="1" x14ac:dyDescent="0.2">
      <c r="A3599" s="3" t="s">
        <v>1538</v>
      </c>
      <c r="C3599" s="2">
        <v>0</v>
      </c>
      <c r="E3599" s="2">
        <v>0</v>
      </c>
      <c r="G3599" s="2">
        <v>0</v>
      </c>
      <c r="I3599" s="2">
        <v>0</v>
      </c>
      <c r="K3599" s="2">
        <v>0</v>
      </c>
      <c r="L3599" s="9"/>
      <c r="M3599" s="2">
        <v>0</v>
      </c>
      <c r="N3599" s="9"/>
      <c r="O3599" s="2">
        <v>0</v>
      </c>
      <c r="P3599" s="9"/>
      <c r="Q3599" s="2">
        <f t="shared" si="105"/>
        <v>0</v>
      </c>
      <c r="T3599" s="11"/>
      <c r="AF3599" s="9"/>
    </row>
    <row r="3600" spans="1:32" ht="11.85" customHeight="1" x14ac:dyDescent="0.2">
      <c r="A3600" s="3" t="s">
        <v>1539</v>
      </c>
      <c r="C3600" s="2">
        <v>0</v>
      </c>
      <c r="E3600" s="2">
        <v>0</v>
      </c>
      <c r="G3600" s="2">
        <v>2851.14</v>
      </c>
      <c r="I3600" s="2">
        <v>4000</v>
      </c>
      <c r="K3600" s="2">
        <v>4000</v>
      </c>
      <c r="L3600" s="9"/>
      <c r="M3600" s="2">
        <v>4000</v>
      </c>
      <c r="N3600" s="9"/>
      <c r="O3600" s="2">
        <v>0</v>
      </c>
      <c r="P3600" s="9"/>
      <c r="Q3600" s="2">
        <f t="shared" si="105"/>
        <v>4000</v>
      </c>
      <c r="T3600" s="11"/>
      <c r="AF3600" s="9"/>
    </row>
    <row r="3601" spans="1:32" ht="11.85" customHeight="1" x14ac:dyDescent="0.2">
      <c r="A3601" s="3" t="s">
        <v>1540</v>
      </c>
      <c r="C3601" s="2">
        <v>0</v>
      </c>
      <c r="E3601" s="2">
        <v>0</v>
      </c>
      <c r="G3601" s="2">
        <v>325.33999999999997</v>
      </c>
      <c r="I3601" s="2">
        <v>1500</v>
      </c>
      <c r="K3601" s="2">
        <v>1500</v>
      </c>
      <c r="L3601" s="9"/>
      <c r="M3601" s="2">
        <v>1500</v>
      </c>
      <c r="N3601" s="9"/>
      <c r="O3601" s="2">
        <v>0</v>
      </c>
      <c r="P3601" s="9"/>
      <c r="Q3601" s="2">
        <f t="shared" si="105"/>
        <v>1500</v>
      </c>
      <c r="T3601" s="11"/>
      <c r="AF3601" s="9"/>
    </row>
    <row r="3602" spans="1:32" ht="11.85" customHeight="1" x14ac:dyDescent="0.2">
      <c r="A3602" s="3" t="s">
        <v>1541</v>
      </c>
      <c r="C3602" s="2">
        <v>0</v>
      </c>
      <c r="E3602" s="2">
        <v>0</v>
      </c>
      <c r="G3602" s="2">
        <v>0</v>
      </c>
      <c r="I3602" s="2">
        <v>500</v>
      </c>
      <c r="K3602" s="2">
        <v>500</v>
      </c>
      <c r="L3602" s="9"/>
      <c r="M3602" s="2">
        <v>0</v>
      </c>
      <c r="N3602" s="9"/>
      <c r="O3602" s="2">
        <v>0</v>
      </c>
      <c r="P3602" s="9"/>
      <c r="Q3602" s="2">
        <f t="shared" si="105"/>
        <v>0</v>
      </c>
      <c r="T3602" s="11"/>
      <c r="AF3602" s="9"/>
    </row>
    <row r="3603" spans="1:32" ht="11.85" customHeight="1" x14ac:dyDescent="0.2">
      <c r="A3603" s="3" t="s">
        <v>1542</v>
      </c>
      <c r="C3603" s="2">
        <v>0</v>
      </c>
      <c r="E3603" s="2">
        <v>0</v>
      </c>
      <c r="G3603" s="2">
        <v>0</v>
      </c>
      <c r="I3603" s="2">
        <v>2500</v>
      </c>
      <c r="K3603" s="2">
        <v>2500</v>
      </c>
      <c r="L3603" s="9"/>
      <c r="M3603" s="2">
        <v>2500</v>
      </c>
      <c r="N3603" s="9"/>
      <c r="O3603" s="2">
        <v>0</v>
      </c>
      <c r="P3603" s="9"/>
      <c r="Q3603" s="2">
        <f t="shared" si="105"/>
        <v>2500</v>
      </c>
      <c r="T3603" s="11"/>
      <c r="AF3603" s="9"/>
    </row>
    <row r="3604" spans="1:32" ht="11.85" customHeight="1" x14ac:dyDescent="0.2">
      <c r="A3604" s="3" t="s">
        <v>1543</v>
      </c>
      <c r="C3604" s="2">
        <v>0</v>
      </c>
      <c r="E3604" s="2">
        <v>0</v>
      </c>
      <c r="G3604" s="2">
        <v>15.8</v>
      </c>
      <c r="I3604" s="2">
        <v>2500</v>
      </c>
      <c r="K3604" s="2">
        <v>2500</v>
      </c>
      <c r="L3604" s="9"/>
      <c r="M3604" s="2">
        <v>3000</v>
      </c>
      <c r="N3604" s="9"/>
      <c r="O3604" s="2">
        <v>0</v>
      </c>
      <c r="P3604" s="9"/>
      <c r="Q3604" s="2">
        <f t="shared" si="105"/>
        <v>3000</v>
      </c>
      <c r="T3604" s="11"/>
      <c r="AF3604" s="9"/>
    </row>
    <row r="3605" spans="1:32" ht="11.85" customHeight="1" x14ac:dyDescent="0.2">
      <c r="A3605" s="3" t="s">
        <v>1544</v>
      </c>
      <c r="C3605" s="2">
        <v>0</v>
      </c>
      <c r="E3605" s="2">
        <v>0</v>
      </c>
      <c r="G3605" s="2">
        <v>144</v>
      </c>
      <c r="I3605" s="2">
        <v>1000</v>
      </c>
      <c r="K3605" s="2">
        <v>1000</v>
      </c>
      <c r="L3605" s="9"/>
      <c r="M3605" s="2">
        <v>1000</v>
      </c>
      <c r="N3605" s="9"/>
      <c r="O3605" s="2">
        <v>0</v>
      </c>
      <c r="P3605" s="9"/>
      <c r="Q3605" s="2">
        <f t="shared" si="105"/>
        <v>1000</v>
      </c>
      <c r="T3605" s="11"/>
      <c r="AF3605" s="9"/>
    </row>
    <row r="3606" spans="1:32" ht="11.85" customHeight="1" x14ac:dyDescent="0.2">
      <c r="A3606" s="3" t="s">
        <v>1545</v>
      </c>
      <c r="C3606" s="2">
        <v>0</v>
      </c>
      <c r="E3606" s="2">
        <v>0</v>
      </c>
      <c r="G3606" s="2">
        <v>95</v>
      </c>
      <c r="I3606" s="2">
        <v>2000</v>
      </c>
      <c r="K3606" s="2">
        <v>2000</v>
      </c>
      <c r="L3606" s="9"/>
      <c r="M3606" s="2">
        <v>2000</v>
      </c>
      <c r="N3606" s="9"/>
      <c r="O3606" s="2">
        <v>0</v>
      </c>
      <c r="P3606" s="9"/>
      <c r="Q3606" s="2">
        <f t="shared" si="105"/>
        <v>2000</v>
      </c>
      <c r="T3606" s="11"/>
      <c r="AF3606" s="9"/>
    </row>
    <row r="3607" spans="1:32" ht="11.85" hidden="1" customHeight="1" x14ac:dyDescent="0.2">
      <c r="A3607" s="3" t="s">
        <v>1546</v>
      </c>
      <c r="C3607" s="2">
        <v>0</v>
      </c>
      <c r="E3607" s="2">
        <v>0</v>
      </c>
      <c r="G3607" s="2">
        <v>0</v>
      </c>
      <c r="I3607" s="2">
        <v>0</v>
      </c>
      <c r="K3607" s="2">
        <v>0</v>
      </c>
      <c r="L3607" s="9"/>
      <c r="M3607" s="2">
        <v>0</v>
      </c>
      <c r="N3607" s="9"/>
      <c r="O3607" s="2">
        <v>0</v>
      </c>
      <c r="P3607" s="9"/>
      <c r="Q3607" s="2">
        <f t="shared" si="105"/>
        <v>0</v>
      </c>
      <c r="T3607" s="11"/>
      <c r="AF3607" s="9"/>
    </row>
    <row r="3608" spans="1:32" ht="11.85" customHeight="1" x14ac:dyDescent="0.2">
      <c r="A3608" s="3" t="s">
        <v>1547</v>
      </c>
      <c r="C3608" s="2">
        <v>0</v>
      </c>
      <c r="E3608" s="2">
        <v>0</v>
      </c>
      <c r="G3608" s="2">
        <v>0</v>
      </c>
      <c r="I3608" s="2">
        <v>0</v>
      </c>
      <c r="K3608" s="2">
        <v>0</v>
      </c>
      <c r="L3608" s="9"/>
      <c r="M3608" s="2">
        <v>25000</v>
      </c>
      <c r="N3608" s="9"/>
      <c r="O3608" s="2">
        <v>0</v>
      </c>
      <c r="P3608" s="9"/>
      <c r="Q3608" s="2">
        <f t="shared" si="105"/>
        <v>25000</v>
      </c>
      <c r="T3608" s="11"/>
      <c r="AF3608" s="9"/>
    </row>
    <row r="3609" spans="1:32" ht="11.85" hidden="1" customHeight="1" x14ac:dyDescent="0.2">
      <c r="A3609" s="3" t="s">
        <v>1548</v>
      </c>
      <c r="C3609" s="2">
        <v>0</v>
      </c>
      <c r="E3609" s="2">
        <v>0</v>
      </c>
      <c r="G3609" s="2">
        <v>0</v>
      </c>
      <c r="I3609" s="2">
        <v>0</v>
      </c>
      <c r="K3609" s="2">
        <v>0</v>
      </c>
      <c r="L3609" s="9"/>
      <c r="M3609" s="2">
        <v>0</v>
      </c>
      <c r="N3609" s="9"/>
      <c r="O3609" s="2">
        <v>0</v>
      </c>
      <c r="P3609" s="9"/>
      <c r="Q3609" s="2">
        <f>M3609+O3609</f>
        <v>0</v>
      </c>
      <c r="T3609" s="11"/>
      <c r="AF3609" s="9"/>
    </row>
    <row r="3610" spans="1:32" ht="11.85" customHeight="1" x14ac:dyDescent="0.2">
      <c r="A3610" s="3" t="s">
        <v>1549</v>
      </c>
      <c r="C3610" s="2">
        <v>0</v>
      </c>
      <c r="E3610" s="2">
        <v>0</v>
      </c>
      <c r="G3610" s="2">
        <v>1034.5899999999999</v>
      </c>
      <c r="I3610" s="2">
        <v>5000</v>
      </c>
      <c r="K3610" s="2">
        <v>5000</v>
      </c>
      <c r="L3610" s="9"/>
      <c r="M3610" s="2">
        <v>5000</v>
      </c>
      <c r="N3610" s="9"/>
      <c r="O3610" s="2">
        <v>0</v>
      </c>
      <c r="P3610" s="9"/>
      <c r="Q3610" s="2">
        <f t="shared" ref="Q3610:Q3618" si="106">M3610+O3610</f>
        <v>5000</v>
      </c>
      <c r="T3610" s="11"/>
      <c r="AF3610" s="9"/>
    </row>
    <row r="3611" spans="1:32" ht="11.85" customHeight="1" x14ac:dyDescent="0.2">
      <c r="A3611" s="3" t="s">
        <v>1550</v>
      </c>
      <c r="C3611" s="2">
        <v>0</v>
      </c>
      <c r="E3611" s="2">
        <v>0</v>
      </c>
      <c r="G3611" s="2">
        <v>0</v>
      </c>
      <c r="I3611" s="2">
        <v>2200</v>
      </c>
      <c r="K3611" s="2">
        <v>2200</v>
      </c>
      <c r="L3611" s="9"/>
      <c r="M3611" s="2">
        <v>900</v>
      </c>
      <c r="N3611" s="9"/>
      <c r="O3611" s="2">
        <v>0</v>
      </c>
      <c r="P3611" s="9"/>
      <c r="Q3611" s="2">
        <f t="shared" si="106"/>
        <v>900</v>
      </c>
      <c r="T3611" s="11"/>
      <c r="AF3611" s="9"/>
    </row>
    <row r="3612" spans="1:32" ht="11.85" customHeight="1" x14ac:dyDescent="0.2">
      <c r="A3612" s="3" t="s">
        <v>1551</v>
      </c>
      <c r="C3612" s="2">
        <v>0</v>
      </c>
      <c r="E3612" s="2">
        <v>0</v>
      </c>
      <c r="G3612" s="2">
        <v>0</v>
      </c>
      <c r="I3612" s="2">
        <v>250</v>
      </c>
      <c r="K3612" s="2">
        <v>250</v>
      </c>
      <c r="L3612" s="9"/>
      <c r="M3612" s="2">
        <v>250</v>
      </c>
      <c r="N3612" s="9"/>
      <c r="O3612" s="2">
        <v>0</v>
      </c>
      <c r="P3612" s="9"/>
      <c r="Q3612" s="2">
        <f t="shared" si="106"/>
        <v>250</v>
      </c>
      <c r="T3612" s="11"/>
      <c r="AF3612" s="9"/>
    </row>
    <row r="3613" spans="1:32" ht="11.85" hidden="1" customHeight="1" x14ac:dyDescent="0.2">
      <c r="A3613" s="3" t="s">
        <v>1477</v>
      </c>
      <c r="C3613" s="2">
        <v>0</v>
      </c>
      <c r="E3613" s="2">
        <v>0</v>
      </c>
      <c r="G3613" s="2">
        <v>0</v>
      </c>
      <c r="I3613" s="2">
        <v>0</v>
      </c>
      <c r="K3613" s="2">
        <v>0</v>
      </c>
      <c r="L3613" s="9"/>
      <c r="M3613" s="2">
        <v>0</v>
      </c>
      <c r="N3613" s="9"/>
      <c r="O3613" s="2">
        <v>0</v>
      </c>
      <c r="P3613" s="9"/>
      <c r="Q3613" s="2">
        <f t="shared" si="106"/>
        <v>0</v>
      </c>
      <c r="T3613" s="11"/>
      <c r="AF3613" s="9"/>
    </row>
    <row r="3614" spans="1:32" ht="11.85" customHeight="1" x14ac:dyDescent="0.2">
      <c r="A3614" s="3" t="s">
        <v>1552</v>
      </c>
      <c r="C3614" s="2">
        <v>0</v>
      </c>
      <c r="E3614" s="2">
        <v>0</v>
      </c>
      <c r="G3614" s="2">
        <v>53940.38</v>
      </c>
      <c r="I3614" s="2">
        <v>35000</v>
      </c>
      <c r="K3614" s="2">
        <v>35000</v>
      </c>
      <c r="L3614" s="9"/>
      <c r="M3614" s="2">
        <v>40000</v>
      </c>
      <c r="N3614" s="9"/>
      <c r="O3614" s="2">
        <v>0</v>
      </c>
      <c r="P3614" s="9"/>
      <c r="Q3614" s="2">
        <f t="shared" si="106"/>
        <v>40000</v>
      </c>
      <c r="T3614" s="11"/>
      <c r="AF3614" s="9"/>
    </row>
    <row r="3615" spans="1:32" ht="11.85" customHeight="1" x14ac:dyDescent="0.2">
      <c r="A3615" s="3" t="s">
        <v>1553</v>
      </c>
      <c r="C3615" s="2">
        <v>0</v>
      </c>
      <c r="E3615" s="2">
        <v>0</v>
      </c>
      <c r="G3615" s="2">
        <v>242.97</v>
      </c>
      <c r="I3615" s="2">
        <v>1000</v>
      </c>
      <c r="K3615" s="2">
        <v>1000</v>
      </c>
      <c r="L3615" s="9"/>
      <c r="M3615" s="2">
        <v>1000</v>
      </c>
      <c r="N3615" s="9"/>
      <c r="O3615" s="2">
        <v>0</v>
      </c>
      <c r="P3615" s="9"/>
      <c r="Q3615" s="2">
        <f t="shared" si="106"/>
        <v>1000</v>
      </c>
      <c r="T3615" s="11"/>
      <c r="AF3615" s="9"/>
    </row>
    <row r="3616" spans="1:32" ht="11.85" hidden="1" customHeight="1" x14ac:dyDescent="0.2">
      <c r="A3616" s="3" t="s">
        <v>1554</v>
      </c>
      <c r="C3616" s="2">
        <v>0</v>
      </c>
      <c r="E3616" s="2">
        <v>0</v>
      </c>
      <c r="G3616" s="2">
        <v>0</v>
      </c>
      <c r="I3616" s="2">
        <v>0</v>
      </c>
      <c r="K3616" s="2">
        <v>0</v>
      </c>
      <c r="L3616" s="9"/>
      <c r="M3616" s="2">
        <v>0</v>
      </c>
      <c r="N3616" s="9"/>
      <c r="O3616" s="2">
        <v>0</v>
      </c>
      <c r="P3616" s="9"/>
      <c r="Q3616" s="2">
        <f t="shared" si="106"/>
        <v>0</v>
      </c>
      <c r="T3616" s="11"/>
      <c r="AF3616" s="9"/>
    </row>
    <row r="3617" spans="1:32" ht="11.85" hidden="1" customHeight="1" x14ac:dyDescent="0.2">
      <c r="A3617" s="3" t="s">
        <v>1555</v>
      </c>
      <c r="C3617" s="2">
        <v>0</v>
      </c>
      <c r="E3617" s="2">
        <v>0</v>
      </c>
      <c r="G3617" s="2">
        <v>0</v>
      </c>
      <c r="I3617" s="2">
        <v>0</v>
      </c>
      <c r="K3617" s="2">
        <v>0</v>
      </c>
      <c r="L3617" s="9"/>
      <c r="M3617" s="2">
        <v>0</v>
      </c>
      <c r="N3617" s="9"/>
      <c r="O3617" s="2">
        <v>0</v>
      </c>
      <c r="P3617" s="9"/>
      <c r="Q3617" s="2">
        <f t="shared" si="106"/>
        <v>0</v>
      </c>
      <c r="T3617" s="11"/>
      <c r="AF3617" s="9"/>
    </row>
    <row r="3618" spans="1:32" ht="11.85" customHeight="1" x14ac:dyDescent="0.2">
      <c r="A3618" s="3" t="s">
        <v>1556</v>
      </c>
      <c r="C3618" s="12">
        <v>0</v>
      </c>
      <c r="E3618" s="12">
        <v>0</v>
      </c>
      <c r="G3618" s="12">
        <v>1852.03</v>
      </c>
      <c r="I3618" s="12">
        <v>4000</v>
      </c>
      <c r="K3618" s="12">
        <v>4000</v>
      </c>
      <c r="L3618" s="9"/>
      <c r="M3618" s="12">
        <v>4800</v>
      </c>
      <c r="N3618" s="9"/>
      <c r="O3618" s="12">
        <v>0</v>
      </c>
      <c r="P3618" s="9"/>
      <c r="Q3618" s="12">
        <f t="shared" si="106"/>
        <v>4800</v>
      </c>
      <c r="T3618" s="11"/>
      <c r="AF3618" s="9"/>
    </row>
    <row r="3619" spans="1:32" ht="11.85" customHeight="1" x14ac:dyDescent="0.2">
      <c r="A3619" s="3" t="s">
        <v>328</v>
      </c>
      <c r="C3619" s="2">
        <f>SUM(C3596:C3601)+SUM(C3602:C3618)</f>
        <v>0</v>
      </c>
      <c r="E3619" s="2">
        <f>SUM(E3596:E3601)+SUM(E3602:E3618)</f>
        <v>0</v>
      </c>
      <c r="G3619" s="2">
        <f>SUM(G3596:G3601)+SUM(G3602:G3618)</f>
        <v>62132.53</v>
      </c>
      <c r="I3619" s="2">
        <f>SUM(I3596:I3601)+SUM(I3602:I3618)</f>
        <v>66450</v>
      </c>
      <c r="K3619" s="2">
        <f>SUM(K3596:K3601)+SUM(K3602:K3618)</f>
        <v>71450</v>
      </c>
      <c r="L3619" s="9"/>
      <c r="M3619" s="2">
        <f>SUM(M3596:M3601)+SUM(M3602:M3618)</f>
        <v>96450</v>
      </c>
      <c r="N3619" s="9"/>
      <c r="O3619" s="2">
        <f>SUM(O3596:O3601)+SUM(O3602:O3618)</f>
        <v>0</v>
      </c>
      <c r="P3619" s="9"/>
      <c r="Q3619" s="2">
        <f>SUM(Q3596:Q3601)+SUM(Q3602:Q3618)</f>
        <v>96450</v>
      </c>
      <c r="R3619" s="9"/>
      <c r="T3619" s="14"/>
      <c r="U3619" s="9"/>
      <c r="AF3619" s="9"/>
    </row>
    <row r="3620" spans="1:32" ht="11.85" customHeight="1" x14ac:dyDescent="0.2">
      <c r="L3620" s="9"/>
      <c r="N3620" s="9"/>
      <c r="P3620" s="9"/>
    </row>
    <row r="3621" spans="1:32" ht="11.85" customHeight="1" x14ac:dyDescent="0.2">
      <c r="A3621" s="1"/>
      <c r="B3621" s="1"/>
      <c r="E3621" s="2" t="str">
        <f>$E$1</f>
        <v>CITY OF BRADY</v>
      </c>
    </row>
    <row r="3622" spans="1:32" ht="11.85" customHeight="1" x14ac:dyDescent="0.2">
      <c r="E3622" s="2" t="str">
        <f>$E$2</f>
        <v>BUDGET REPORT</v>
      </c>
    </row>
    <row r="3623" spans="1:32" ht="11.85" customHeight="1" x14ac:dyDescent="0.2">
      <c r="E3623" s="2" t="str">
        <f>$E$3</f>
        <v>FISCAL YEAR 2024 - 2025</v>
      </c>
    </row>
    <row r="3624" spans="1:32" ht="11.85" customHeight="1" x14ac:dyDescent="0.2">
      <c r="A3624" s="3" t="s">
        <v>1306</v>
      </c>
    </row>
    <row r="3625" spans="1:32" ht="11.85" customHeight="1" x14ac:dyDescent="0.2">
      <c r="A3625" s="3" t="s">
        <v>1509</v>
      </c>
    </row>
    <row r="3626" spans="1:32" ht="11.85" customHeight="1" x14ac:dyDescent="0.2">
      <c r="I3626" s="53" t="str">
        <f>$I$6</f>
        <v>(----- 2023-2024------)</v>
      </c>
      <c r="J3626" s="53"/>
      <c r="K3626" s="53"/>
      <c r="L3626" s="6"/>
      <c r="M3626" s="54" t="str">
        <f>$M$6</f>
        <v>2024-2025</v>
      </c>
      <c r="N3626" s="54"/>
      <c r="O3626" s="54"/>
      <c r="P3626" s="54"/>
      <c r="Q3626" s="54"/>
    </row>
    <row r="3627" spans="1:32" ht="11.85" customHeight="1" x14ac:dyDescent="0.2">
      <c r="C3627" s="5" t="str">
        <f>$C$7</f>
        <v>2020-2021</v>
      </c>
      <c r="D3627" s="5"/>
      <c r="E3627" s="5" t="str">
        <f>$E$7</f>
        <v>2021-2022</v>
      </c>
      <c r="F3627" s="5"/>
      <c r="G3627" s="5" t="str">
        <f>$G$7</f>
        <v>2022-2023</v>
      </c>
      <c r="H3627" s="5"/>
      <c r="I3627" s="5" t="s">
        <v>9</v>
      </c>
      <c r="J3627" s="5"/>
      <c r="K3627" s="5" t="str">
        <f>+$K$7</f>
        <v>PROJECTED</v>
      </c>
      <c r="L3627" s="6"/>
      <c r="M3627" s="5">
        <f>$M$7</f>
        <v>0</v>
      </c>
      <c r="N3627" s="6"/>
      <c r="O3627" s="5" t="str">
        <f>$O$7</f>
        <v>2024-2025</v>
      </c>
      <c r="P3627" s="6"/>
      <c r="Q3627" s="5" t="str">
        <f>$Q$7</f>
        <v>APPROVED</v>
      </c>
    </row>
    <row r="3628" spans="1:32" ht="11.85" customHeight="1" x14ac:dyDescent="0.2">
      <c r="A3628" s="7" t="s">
        <v>273</v>
      </c>
      <c r="C3628" s="8" t="s">
        <v>12</v>
      </c>
      <c r="D3628" s="5"/>
      <c r="E3628" s="8" t="s">
        <v>12</v>
      </c>
      <c r="F3628" s="5"/>
      <c r="G3628" s="8" t="s">
        <v>12</v>
      </c>
      <c r="H3628" s="5"/>
      <c r="I3628" s="8" t="s">
        <v>13</v>
      </c>
      <c r="J3628" s="5"/>
      <c r="K3628" s="8" t="s">
        <v>13</v>
      </c>
      <c r="L3628" s="6"/>
      <c r="M3628" s="8" t="str">
        <f>$M$8</f>
        <v>BASE</v>
      </c>
      <c r="N3628" s="6"/>
      <c r="O3628" s="8" t="str">
        <f>$O$8</f>
        <v>SUPPLEMENTAL</v>
      </c>
      <c r="P3628" s="6"/>
      <c r="Q3628" s="8" t="str">
        <f>$Q$8</f>
        <v>BUDGET</v>
      </c>
    </row>
    <row r="3629" spans="1:32" ht="11.85" customHeight="1" x14ac:dyDescent="0.2">
      <c r="L3629" s="9"/>
      <c r="N3629" s="9"/>
      <c r="P3629" s="9"/>
    </row>
    <row r="3630" spans="1:32" ht="11.85" customHeight="1" x14ac:dyDescent="0.2">
      <c r="A3630" s="3" t="s">
        <v>1557</v>
      </c>
      <c r="C3630" s="2">
        <v>0</v>
      </c>
      <c r="E3630" s="2">
        <v>0</v>
      </c>
      <c r="G3630" s="2">
        <v>0</v>
      </c>
      <c r="I3630" s="2">
        <v>0</v>
      </c>
      <c r="K3630" s="2">
        <v>0</v>
      </c>
      <c r="L3630" s="9"/>
      <c r="M3630" s="2">
        <v>0</v>
      </c>
      <c r="N3630" s="9"/>
      <c r="O3630" s="2">
        <v>0</v>
      </c>
      <c r="P3630" s="9"/>
      <c r="Q3630" s="2">
        <f>M3630+O3630</f>
        <v>0</v>
      </c>
    </row>
    <row r="3631" spans="1:32" ht="11.85" customHeight="1" x14ac:dyDescent="0.2">
      <c r="A3631" s="3" t="s">
        <v>1558</v>
      </c>
      <c r="C3631" s="12">
        <v>0</v>
      </c>
      <c r="E3631" s="12">
        <v>0</v>
      </c>
      <c r="G3631" s="12">
        <v>0</v>
      </c>
      <c r="I3631" s="12">
        <v>0</v>
      </c>
      <c r="K3631" s="12">
        <v>0</v>
      </c>
      <c r="L3631" s="9"/>
      <c r="M3631" s="12">
        <v>7000</v>
      </c>
      <c r="N3631" s="9"/>
      <c r="O3631" s="12">
        <v>0</v>
      </c>
      <c r="P3631" s="9"/>
      <c r="Q3631" s="12">
        <f>M3631+O3631</f>
        <v>7000</v>
      </c>
    </row>
    <row r="3632" spans="1:32" ht="11.85" hidden="1" customHeight="1" x14ac:dyDescent="0.2">
      <c r="A3632" s="3" t="s">
        <v>1486</v>
      </c>
      <c r="C3632" s="12">
        <v>0</v>
      </c>
      <c r="E3632" s="12">
        <v>0</v>
      </c>
      <c r="G3632" s="12">
        <v>0</v>
      </c>
      <c r="I3632" s="12">
        <v>0</v>
      </c>
      <c r="K3632" s="12">
        <v>0</v>
      </c>
      <c r="L3632" s="9"/>
      <c r="M3632" s="12">
        <v>0</v>
      </c>
      <c r="N3632" s="9"/>
      <c r="O3632" s="12">
        <v>0</v>
      </c>
      <c r="P3632" s="9"/>
      <c r="Q3632" s="12">
        <f>M3632+O3632</f>
        <v>0</v>
      </c>
    </row>
    <row r="3633" spans="1:20" ht="11.85" customHeight="1" x14ac:dyDescent="0.2">
      <c r="A3633" s="3" t="s">
        <v>331</v>
      </c>
      <c r="C3633" s="2">
        <f>SUM(C3630:C3632)</f>
        <v>0</v>
      </c>
      <c r="E3633" s="2">
        <f>SUM(E3630:E3632)</f>
        <v>0</v>
      </c>
      <c r="G3633" s="2">
        <f>SUM(G3630:G3632)</f>
        <v>0</v>
      </c>
      <c r="I3633" s="2">
        <f>SUM(I3630:I3632)</f>
        <v>0</v>
      </c>
      <c r="K3633" s="2">
        <f>SUM(K3630:K3632)</f>
        <v>0</v>
      </c>
      <c r="L3633" s="9"/>
      <c r="M3633" s="2">
        <f>SUM(M3630:M3632)</f>
        <v>7000</v>
      </c>
      <c r="N3633" s="9"/>
      <c r="O3633" s="2">
        <f>SUM(O3630:O3632)</f>
        <v>0</v>
      </c>
      <c r="P3633" s="9"/>
      <c r="Q3633" s="2">
        <f>SUM(Q3630:Q3632)</f>
        <v>7000</v>
      </c>
    </row>
    <row r="3634" spans="1:20" ht="11.85" customHeight="1" x14ac:dyDescent="0.2">
      <c r="L3634" s="9"/>
      <c r="N3634" s="9"/>
      <c r="P3634" s="9"/>
    </row>
    <row r="3635" spans="1:20" ht="11.85" customHeight="1" x14ac:dyDescent="0.2">
      <c r="A3635" s="10" t="s">
        <v>1016</v>
      </c>
      <c r="L3635" s="9"/>
      <c r="N3635" s="9"/>
      <c r="P3635" s="9"/>
    </row>
    <row r="3636" spans="1:20" ht="11.85" hidden="1" customHeight="1" x14ac:dyDescent="0.2">
      <c r="A3636" s="3" t="s">
        <v>1487</v>
      </c>
      <c r="C3636" s="2">
        <v>0</v>
      </c>
      <c r="E3636" s="2">
        <v>0</v>
      </c>
      <c r="G3636" s="2">
        <v>0</v>
      </c>
      <c r="I3636" s="2">
        <v>0</v>
      </c>
      <c r="K3636" s="2">
        <v>0</v>
      </c>
      <c r="L3636" s="9"/>
      <c r="M3636" s="2">
        <v>0</v>
      </c>
      <c r="N3636" s="9"/>
      <c r="O3636" s="2">
        <v>0</v>
      </c>
      <c r="P3636" s="9"/>
      <c r="Q3636" s="2">
        <f>M3636+O3636</f>
        <v>0</v>
      </c>
    </row>
    <row r="3637" spans="1:20" ht="11.85" customHeight="1" x14ac:dyDescent="0.2">
      <c r="A3637" s="3" t="s">
        <v>1559</v>
      </c>
      <c r="C3637" s="12">
        <v>0</v>
      </c>
      <c r="E3637" s="12">
        <v>0</v>
      </c>
      <c r="G3637" s="12">
        <v>0</v>
      </c>
      <c r="I3637" s="12">
        <v>0</v>
      </c>
      <c r="K3637" s="12">
        <v>0</v>
      </c>
      <c r="L3637" s="9"/>
      <c r="M3637" s="12">
        <v>0</v>
      </c>
      <c r="N3637" s="9"/>
      <c r="O3637" s="12">
        <v>0</v>
      </c>
      <c r="P3637" s="9"/>
      <c r="Q3637" s="12">
        <f>M3637+O3637</f>
        <v>0</v>
      </c>
    </row>
    <row r="3638" spans="1:20" ht="11.85" hidden="1" customHeight="1" x14ac:dyDescent="0.2">
      <c r="A3638" s="3" t="s">
        <v>1489</v>
      </c>
      <c r="C3638" s="12">
        <v>0</v>
      </c>
      <c r="E3638" s="12">
        <v>0</v>
      </c>
      <c r="G3638" s="12">
        <v>0</v>
      </c>
      <c r="I3638" s="12">
        <v>0</v>
      </c>
      <c r="K3638" s="12">
        <v>0</v>
      </c>
      <c r="L3638" s="9"/>
      <c r="M3638" s="12">
        <v>0</v>
      </c>
      <c r="N3638" s="9"/>
      <c r="O3638" s="12">
        <v>0</v>
      </c>
      <c r="P3638" s="9"/>
      <c r="Q3638" s="12">
        <f>M3638+O3638</f>
        <v>0</v>
      </c>
    </row>
    <row r="3639" spans="1:20" ht="11.85" customHeight="1" x14ac:dyDescent="0.2">
      <c r="A3639" s="3" t="s">
        <v>1018</v>
      </c>
      <c r="C3639" s="2">
        <f>SUM(C3636:C3638)</f>
        <v>0</v>
      </c>
      <c r="E3639" s="2">
        <f>SUM(E3636:E3638)</f>
        <v>0</v>
      </c>
      <c r="G3639" s="2">
        <f>SUM(G3636:G3638)</f>
        <v>0</v>
      </c>
      <c r="I3639" s="2">
        <f>SUM(I3636:I3638)</f>
        <v>0</v>
      </c>
      <c r="K3639" s="2">
        <f>SUM(K3636:K3638)</f>
        <v>0</v>
      </c>
      <c r="L3639" s="9"/>
      <c r="M3639" s="2">
        <f>SUM(M3636:M3638)</f>
        <v>0</v>
      </c>
      <c r="N3639" s="9"/>
      <c r="O3639" s="2">
        <f>SUM(O3636:O3638)</f>
        <v>0</v>
      </c>
      <c r="P3639" s="9"/>
      <c r="Q3639" s="2">
        <f>SUM(Q3636:Q3638)</f>
        <v>0</v>
      </c>
    </row>
    <row r="3640" spans="1:20" ht="11.85" customHeight="1" x14ac:dyDescent="0.2">
      <c r="L3640" s="9"/>
      <c r="N3640" s="9"/>
      <c r="P3640" s="9"/>
    </row>
    <row r="3641" spans="1:20" ht="11.85" customHeight="1" x14ac:dyDescent="0.2">
      <c r="A3641" s="10" t="s">
        <v>332</v>
      </c>
      <c r="L3641" s="9"/>
      <c r="N3641" s="9"/>
      <c r="P3641" s="9"/>
    </row>
    <row r="3642" spans="1:20" ht="11.85" customHeight="1" x14ac:dyDescent="0.2">
      <c r="A3642" s="3" t="s">
        <v>1560</v>
      </c>
      <c r="C3642" s="2">
        <v>0</v>
      </c>
      <c r="E3642" s="2">
        <v>0</v>
      </c>
      <c r="G3642" s="2">
        <v>5534.87</v>
      </c>
      <c r="I3642" s="2">
        <v>14000</v>
      </c>
      <c r="K3642" s="2">
        <v>14000</v>
      </c>
      <c r="L3642" s="9"/>
      <c r="M3642" s="2">
        <v>21700</v>
      </c>
      <c r="N3642" s="9"/>
      <c r="O3642" s="2">
        <v>0</v>
      </c>
      <c r="P3642" s="9"/>
      <c r="Q3642" s="2">
        <f t="shared" ref="Q3642:Q3647" si="107">M3642+O3642</f>
        <v>21700</v>
      </c>
      <c r="T3642" s="11"/>
    </row>
    <row r="3643" spans="1:20" ht="11.85" customHeight="1" x14ac:dyDescent="0.2">
      <c r="A3643" s="3" t="s">
        <v>1561</v>
      </c>
      <c r="C3643" s="12">
        <v>0</v>
      </c>
      <c r="E3643" s="12">
        <v>0</v>
      </c>
      <c r="G3643" s="12">
        <v>75111.86</v>
      </c>
      <c r="I3643" s="12">
        <v>0</v>
      </c>
      <c r="K3643" s="12">
        <v>0</v>
      </c>
      <c r="L3643" s="9"/>
      <c r="M3643" s="12">
        <v>48000</v>
      </c>
      <c r="N3643" s="9"/>
      <c r="O3643" s="12">
        <v>0</v>
      </c>
      <c r="P3643" s="9"/>
      <c r="Q3643" s="12">
        <f t="shared" si="107"/>
        <v>48000</v>
      </c>
    </row>
    <row r="3644" spans="1:20" ht="11.85" hidden="1" customHeight="1" x14ac:dyDescent="0.2">
      <c r="A3644" s="3" t="s">
        <v>1562</v>
      </c>
      <c r="C3644" s="2">
        <v>0</v>
      </c>
      <c r="E3644" s="2">
        <v>0</v>
      </c>
      <c r="G3644" s="2">
        <v>0</v>
      </c>
      <c r="I3644" s="2">
        <v>0</v>
      </c>
      <c r="K3644" s="2">
        <v>0</v>
      </c>
      <c r="L3644" s="9"/>
      <c r="M3644" s="2">
        <v>0</v>
      </c>
      <c r="N3644" s="9"/>
      <c r="O3644" s="2">
        <v>0</v>
      </c>
      <c r="P3644" s="9"/>
      <c r="Q3644" s="2">
        <f t="shared" si="107"/>
        <v>0</v>
      </c>
    </row>
    <row r="3645" spans="1:20" ht="11.85" hidden="1" customHeight="1" x14ac:dyDescent="0.2">
      <c r="A3645" s="3" t="s">
        <v>1493</v>
      </c>
      <c r="C3645" s="2">
        <v>0</v>
      </c>
      <c r="E3645" s="2">
        <v>0</v>
      </c>
      <c r="G3645" s="2">
        <v>0</v>
      </c>
      <c r="I3645" s="2">
        <v>0</v>
      </c>
      <c r="K3645" s="2">
        <v>0</v>
      </c>
      <c r="L3645" s="9"/>
      <c r="N3645" s="9"/>
      <c r="O3645" s="2">
        <v>0</v>
      </c>
      <c r="P3645" s="9"/>
      <c r="Q3645" s="2">
        <f t="shared" si="107"/>
        <v>0</v>
      </c>
    </row>
    <row r="3646" spans="1:20" ht="11.85" hidden="1" customHeight="1" x14ac:dyDescent="0.2">
      <c r="A3646" s="3" t="s">
        <v>1494</v>
      </c>
      <c r="C3646" s="2">
        <v>0</v>
      </c>
      <c r="E3646" s="2">
        <v>0</v>
      </c>
      <c r="G3646" s="2">
        <v>0</v>
      </c>
      <c r="I3646" s="2">
        <v>0</v>
      </c>
      <c r="K3646" s="2">
        <v>0</v>
      </c>
      <c r="L3646" s="9"/>
      <c r="M3646" s="2">
        <v>0</v>
      </c>
      <c r="N3646" s="9"/>
      <c r="O3646" s="2">
        <v>0</v>
      </c>
      <c r="P3646" s="9"/>
      <c r="Q3646" s="2">
        <f t="shared" si="107"/>
        <v>0</v>
      </c>
      <c r="T3646" s="45"/>
    </row>
    <row r="3647" spans="1:20" ht="11.85" hidden="1" customHeight="1" x14ac:dyDescent="0.2">
      <c r="A3647" s="3" t="s">
        <v>1563</v>
      </c>
      <c r="C3647" s="2">
        <v>0</v>
      </c>
      <c r="E3647" s="2">
        <v>0</v>
      </c>
      <c r="G3647" s="2">
        <v>0</v>
      </c>
      <c r="I3647" s="2">
        <v>0</v>
      </c>
      <c r="K3647" s="2">
        <v>0</v>
      </c>
      <c r="L3647" s="9"/>
      <c r="M3647" s="2">
        <v>0</v>
      </c>
      <c r="N3647" s="9"/>
      <c r="O3647" s="2">
        <v>0</v>
      </c>
      <c r="P3647" s="9"/>
      <c r="Q3647" s="2">
        <f t="shared" si="107"/>
        <v>0</v>
      </c>
      <c r="R3647" s="46"/>
      <c r="S3647" s="16"/>
    </row>
    <row r="3648" spans="1:20" ht="11.85" hidden="1" customHeight="1" x14ac:dyDescent="0.2">
      <c r="A3648" s="3" t="s">
        <v>1564</v>
      </c>
      <c r="C3648" s="2">
        <v>0</v>
      </c>
      <c r="E3648" s="2">
        <v>0</v>
      </c>
      <c r="G3648" s="2">
        <v>0</v>
      </c>
      <c r="I3648" s="2">
        <v>0</v>
      </c>
      <c r="K3648" s="2">
        <v>0</v>
      </c>
      <c r="L3648" s="9"/>
      <c r="M3648" s="2">
        <v>0</v>
      </c>
      <c r="N3648" s="9"/>
      <c r="O3648" s="2">
        <v>0</v>
      </c>
      <c r="P3648" s="9"/>
      <c r="Q3648" s="2">
        <f>M3648+O3648</f>
        <v>0</v>
      </c>
      <c r="R3648" s="15"/>
      <c r="S3648" s="16"/>
    </row>
    <row r="3649" spans="1:33" ht="11.85" hidden="1" customHeight="1" x14ac:dyDescent="0.2">
      <c r="A3649" s="3" t="s">
        <v>1565</v>
      </c>
      <c r="C3649" s="12">
        <v>0</v>
      </c>
      <c r="E3649" s="12">
        <v>0</v>
      </c>
      <c r="G3649" s="12">
        <v>0</v>
      </c>
      <c r="I3649" s="12">
        <v>0</v>
      </c>
      <c r="K3649" s="12">
        <v>0</v>
      </c>
      <c r="L3649" s="9"/>
      <c r="M3649" s="12">
        <v>0</v>
      </c>
      <c r="N3649" s="9"/>
      <c r="O3649" s="12">
        <v>0</v>
      </c>
      <c r="P3649" s="9"/>
      <c r="Q3649" s="12">
        <f>M3649+O3649</f>
        <v>0</v>
      </c>
      <c r="R3649" s="15"/>
      <c r="S3649" s="16"/>
    </row>
    <row r="3650" spans="1:33" ht="11.85" hidden="1" customHeight="1" x14ac:dyDescent="0.2">
      <c r="A3650" s="3" t="s">
        <v>1498</v>
      </c>
      <c r="C3650" s="12">
        <v>0</v>
      </c>
      <c r="E3650" s="12">
        <v>0</v>
      </c>
      <c r="G3650" s="12">
        <v>0</v>
      </c>
      <c r="I3650" s="12">
        <v>0</v>
      </c>
      <c r="K3650" s="12">
        <v>0</v>
      </c>
      <c r="L3650" s="9"/>
      <c r="M3650" s="12">
        <v>0</v>
      </c>
      <c r="N3650" s="9"/>
      <c r="O3650" s="12">
        <v>0</v>
      </c>
      <c r="P3650" s="9"/>
      <c r="Q3650" s="12">
        <f>M3650+O3650</f>
        <v>0</v>
      </c>
      <c r="R3650" s="9"/>
    </row>
    <row r="3651" spans="1:33" ht="11.85" customHeight="1" x14ac:dyDescent="0.2">
      <c r="A3651" s="3" t="s">
        <v>336</v>
      </c>
      <c r="C3651" s="2">
        <f>SUM(C3642:C3650)</f>
        <v>0</v>
      </c>
      <c r="E3651" s="2">
        <f>SUM(E3642:E3650)</f>
        <v>0</v>
      </c>
      <c r="G3651" s="2">
        <f>SUM(G3642:G3650)</f>
        <v>80646.73</v>
      </c>
      <c r="I3651" s="2">
        <f>SUM(I3642:I3650)</f>
        <v>14000</v>
      </c>
      <c r="K3651" s="2">
        <f>SUM(K3642:K3650)</f>
        <v>14000</v>
      </c>
      <c r="L3651" s="9"/>
      <c r="M3651" s="2">
        <f>SUM(M3642:M3650)</f>
        <v>69700</v>
      </c>
      <c r="N3651" s="9"/>
      <c r="O3651" s="2">
        <f>SUM(O3642:O3650)</f>
        <v>0</v>
      </c>
      <c r="P3651" s="9"/>
      <c r="Q3651" s="2">
        <f>SUM(Q3642:Q3650)</f>
        <v>69700</v>
      </c>
      <c r="R3651" s="9"/>
    </row>
    <row r="3652" spans="1:33" ht="11.85" customHeight="1" x14ac:dyDescent="0.2">
      <c r="L3652" s="9"/>
      <c r="N3652" s="9"/>
      <c r="P3652" s="9"/>
      <c r="T3652" s="11"/>
    </row>
    <row r="3653" spans="1:33" ht="11.85" customHeight="1" x14ac:dyDescent="0.2">
      <c r="A3653" s="3" t="s">
        <v>1566</v>
      </c>
      <c r="C3653" s="2">
        <f>C3575+C3593+C3619+C3633+C3639+C3651</f>
        <v>0</v>
      </c>
      <c r="E3653" s="2">
        <f>E3575+E3593+E3619+E3633+E3639+E3651</f>
        <v>0</v>
      </c>
      <c r="G3653" s="2">
        <f>G3575+G3593+G3619+G3633+G3639+G3651</f>
        <v>294366.83</v>
      </c>
      <c r="I3653" s="2">
        <f>I3575+I3593+I3619+I3633+I3639+I3651</f>
        <v>579245</v>
      </c>
      <c r="K3653" s="2">
        <f>K3575+K3593+K3619+K3633+K3639+K3651</f>
        <v>589245</v>
      </c>
      <c r="L3653" s="9"/>
      <c r="M3653" s="2">
        <f>M3575+M3593+M3619+M3633+M3639+M3651</f>
        <v>688327</v>
      </c>
      <c r="N3653" s="9"/>
      <c r="O3653" s="2">
        <f>O3575+O3593+O3619+O3633+O3639+O3651</f>
        <v>26000</v>
      </c>
      <c r="P3653" s="9"/>
      <c r="Q3653" s="2">
        <f>Q3575+Q3593+Q3619+Q3633+Q3639+Q3651</f>
        <v>714327</v>
      </c>
      <c r="R3653" s="9"/>
      <c r="T3653" s="11"/>
      <c r="U3653" s="13"/>
      <c r="V3653" s="9"/>
      <c r="AG3653" s="2"/>
    </row>
    <row r="3654" spans="1:33" ht="11.85" customHeight="1" x14ac:dyDescent="0.2"/>
    <row r="3655" spans="1:33" ht="11.85" customHeight="1" x14ac:dyDescent="0.2">
      <c r="R3655" s="9"/>
    </row>
    <row r="3656" spans="1:33" ht="11.85" customHeight="1" x14ac:dyDescent="0.2"/>
    <row r="3657" spans="1:33" ht="11.85" customHeight="1" x14ac:dyDescent="0.2"/>
    <row r="3658" spans="1:33" ht="11.85" customHeight="1" x14ac:dyDescent="0.2"/>
    <row r="3659" spans="1:33" ht="11.85" customHeight="1" x14ac:dyDescent="0.2"/>
    <row r="3660" spans="1:33" ht="11.85" customHeight="1" x14ac:dyDescent="0.2"/>
    <row r="3661" spans="1:33" ht="11.85" customHeight="1" x14ac:dyDescent="0.2"/>
    <row r="3662" spans="1:33" ht="11.85" customHeight="1" x14ac:dyDescent="0.2"/>
    <row r="3663" spans="1:33" ht="11.85" customHeight="1" x14ac:dyDescent="0.2"/>
    <row r="3664" spans="1:33" ht="11.85" customHeight="1" x14ac:dyDescent="0.2"/>
    <row r="3665" ht="11.85" customHeight="1" x14ac:dyDescent="0.2"/>
    <row r="3666" ht="11.85" customHeight="1" x14ac:dyDescent="0.2"/>
    <row r="3667" ht="11.85" customHeight="1" x14ac:dyDescent="0.2"/>
    <row r="3668" ht="11.85" customHeight="1" x14ac:dyDescent="0.2"/>
    <row r="3669" ht="11.85" customHeight="1" x14ac:dyDescent="0.2"/>
    <row r="3670" ht="11.85" customHeight="1" x14ac:dyDescent="0.2"/>
    <row r="3671" ht="11.85" customHeight="1" x14ac:dyDescent="0.2"/>
    <row r="3672" ht="11.85" customHeight="1" x14ac:dyDescent="0.2"/>
    <row r="3673" ht="11.85" customHeight="1" x14ac:dyDescent="0.2"/>
    <row r="3674" ht="11.85" customHeight="1" x14ac:dyDescent="0.2"/>
    <row r="3675" ht="11.85" customHeight="1" x14ac:dyDescent="0.2"/>
    <row r="3676" ht="11.85" customHeight="1" x14ac:dyDescent="0.2"/>
    <row r="3677" ht="11.85" customHeight="1" x14ac:dyDescent="0.2"/>
    <row r="3678" ht="11.85" customHeight="1" x14ac:dyDescent="0.2"/>
    <row r="3679" ht="11.85" customHeight="1" x14ac:dyDescent="0.2"/>
    <row r="3680" ht="11.85" customHeight="1" x14ac:dyDescent="0.2"/>
    <row r="3681" ht="11.85" customHeight="1" x14ac:dyDescent="0.2"/>
    <row r="3682" ht="11.85" customHeight="1" x14ac:dyDescent="0.2"/>
    <row r="3683" ht="11.85" customHeight="1" x14ac:dyDescent="0.2"/>
    <row r="3684" ht="11.85" customHeight="1" x14ac:dyDescent="0.2"/>
    <row r="3685" ht="11.85" customHeight="1" x14ac:dyDescent="0.2"/>
    <row r="3686" ht="11.85" customHeight="1" x14ac:dyDescent="0.2"/>
    <row r="3687" ht="11.85" customHeight="1" x14ac:dyDescent="0.2"/>
    <row r="3688" ht="11.85" customHeight="1" x14ac:dyDescent="0.2"/>
    <row r="3689" ht="11.85" customHeight="1" x14ac:dyDescent="0.2"/>
    <row r="3690" ht="11.85" customHeight="1" x14ac:dyDescent="0.2"/>
    <row r="3691" ht="11.85" customHeight="1" x14ac:dyDescent="0.2"/>
    <row r="3692" ht="11.85" customHeight="1" x14ac:dyDescent="0.2"/>
    <row r="3693" ht="11.85" customHeight="1" x14ac:dyDescent="0.2"/>
    <row r="3694" ht="11.85" customHeight="1" x14ac:dyDescent="0.2"/>
    <row r="3695" ht="11.85" customHeight="1" x14ac:dyDescent="0.2"/>
    <row r="3696" ht="11.85" customHeight="1" x14ac:dyDescent="0.2"/>
    <row r="3697" spans="1:17" ht="11.85" customHeight="1" x14ac:dyDescent="0.2"/>
    <row r="3698" spans="1:17" ht="11.85" customHeight="1" x14ac:dyDescent="0.2"/>
    <row r="3699" spans="1:17" ht="11.85" customHeight="1" x14ac:dyDescent="0.2"/>
    <row r="3700" spans="1:17" ht="11.85" customHeight="1" x14ac:dyDescent="0.2"/>
    <row r="3701" spans="1:17" ht="11.85" customHeight="1" x14ac:dyDescent="0.2"/>
    <row r="3702" spans="1:17" ht="11.85" customHeight="1" x14ac:dyDescent="0.2"/>
    <row r="3703" spans="1:17" ht="11.85" customHeight="1" x14ac:dyDescent="0.2"/>
    <row r="3704" spans="1:17" ht="11.85" customHeight="1" x14ac:dyDescent="0.2"/>
    <row r="3705" spans="1:17" ht="11.85" customHeight="1" x14ac:dyDescent="0.2"/>
    <row r="3706" spans="1:17" ht="11.85" customHeight="1" x14ac:dyDescent="0.2"/>
    <row r="3707" spans="1:17" ht="11.85" customHeight="1" x14ac:dyDescent="0.2">
      <c r="A3707" s="1"/>
      <c r="B3707" s="1"/>
      <c r="E3707" s="2" t="str">
        <f>$E$1</f>
        <v>CITY OF BRADY</v>
      </c>
    </row>
    <row r="3708" spans="1:17" ht="11.85" customHeight="1" x14ac:dyDescent="0.2">
      <c r="E3708" s="2" t="str">
        <f>$E$2</f>
        <v>BUDGET REPORT</v>
      </c>
    </row>
    <row r="3709" spans="1:17" ht="11.85" customHeight="1" x14ac:dyDescent="0.2">
      <c r="E3709" s="2" t="str">
        <f>$E$3</f>
        <v>FISCAL YEAR 2024 - 2025</v>
      </c>
    </row>
    <row r="3710" spans="1:17" ht="11.85" customHeight="1" x14ac:dyDescent="0.2">
      <c r="A3710" s="3" t="s">
        <v>1567</v>
      </c>
    </row>
    <row r="3711" spans="1:17" ht="11.85" customHeight="1" x14ac:dyDescent="0.2"/>
    <row r="3712" spans="1:17" ht="11.85" customHeight="1" x14ac:dyDescent="0.2">
      <c r="I3712" s="53" t="str">
        <f>$I$6</f>
        <v>(----- 2023-2024------)</v>
      </c>
      <c r="J3712" s="53"/>
      <c r="K3712" s="53"/>
      <c r="L3712" s="6"/>
      <c r="M3712" s="54" t="str">
        <f>$M$6</f>
        <v>2024-2025</v>
      </c>
      <c r="N3712" s="54"/>
      <c r="O3712" s="54"/>
      <c r="P3712" s="54"/>
      <c r="Q3712" s="54"/>
    </row>
    <row r="3713" spans="1:22" ht="11.85" customHeight="1" x14ac:dyDescent="0.2">
      <c r="C3713" s="5" t="str">
        <f>$C$7</f>
        <v>2020-2021</v>
      </c>
      <c r="D3713" s="5"/>
      <c r="E3713" s="5" t="str">
        <f>$E$7</f>
        <v>2021-2022</v>
      </c>
      <c r="F3713" s="5"/>
      <c r="G3713" s="5" t="str">
        <f>$G$7</f>
        <v>2022-2023</v>
      </c>
      <c r="H3713" s="5"/>
      <c r="I3713" s="5" t="s">
        <v>9</v>
      </c>
      <c r="J3713" s="5"/>
      <c r="K3713" s="5" t="str">
        <f>+$K$7</f>
        <v>PROJECTED</v>
      </c>
      <c r="L3713" s="6"/>
      <c r="M3713" s="5">
        <f>$M$7</f>
        <v>0</v>
      </c>
      <c r="N3713" s="6"/>
      <c r="O3713" s="5" t="str">
        <f>$O$7</f>
        <v>2024-2025</v>
      </c>
      <c r="P3713" s="6"/>
      <c r="Q3713" s="5" t="str">
        <f>$Q$7</f>
        <v>APPROVED</v>
      </c>
    </row>
    <row r="3714" spans="1:22" ht="11.85" customHeight="1" x14ac:dyDescent="0.2">
      <c r="A3714" s="7" t="s">
        <v>273</v>
      </c>
      <c r="C3714" s="8" t="s">
        <v>12</v>
      </c>
      <c r="D3714" s="5"/>
      <c r="E3714" s="8" t="s">
        <v>12</v>
      </c>
      <c r="F3714" s="5"/>
      <c r="G3714" s="8" t="s">
        <v>12</v>
      </c>
      <c r="H3714" s="5"/>
      <c r="I3714" s="8" t="s">
        <v>13</v>
      </c>
      <c r="J3714" s="5"/>
      <c r="K3714" s="8" t="s">
        <v>13</v>
      </c>
      <c r="L3714" s="6"/>
      <c r="M3714" s="8" t="str">
        <f>$M$8</f>
        <v>BASE</v>
      </c>
      <c r="N3714" s="6"/>
      <c r="O3714" s="8" t="str">
        <f>$O$8</f>
        <v>SUPPLEMENTAL</v>
      </c>
      <c r="P3714" s="6"/>
      <c r="Q3714" s="8" t="str">
        <f>$Q$8</f>
        <v>BUDGET</v>
      </c>
    </row>
    <row r="3715" spans="1:22" ht="11.85" customHeight="1" x14ac:dyDescent="0.2"/>
    <row r="3716" spans="1:22" ht="11.85" customHeight="1" thickBot="1" x14ac:dyDescent="0.25">
      <c r="A3716" s="3" t="s">
        <v>1123</v>
      </c>
      <c r="C3716" s="25">
        <f>C3357+C3486+C3547+C3276+C3214+C3653</f>
        <v>3780121.05</v>
      </c>
      <c r="E3716" s="25">
        <f>E3357+E3486+E3547+E3276+E3214+E3653</f>
        <v>4108627.4100000006</v>
      </c>
      <c r="G3716" s="25">
        <f>G3357+G3486+G3547+G3276+G3214+G3653</f>
        <v>4978860.7899999991</v>
      </c>
      <c r="I3716" s="25">
        <f>I3357+I3486+I3547+I3276+I3214+I3653</f>
        <v>5595048</v>
      </c>
      <c r="K3716" s="25">
        <f>K3357+K3486+K3547+K3276+K3214+K3653</f>
        <v>5818119</v>
      </c>
      <c r="L3716" s="9"/>
      <c r="M3716" s="36">
        <f>M3357+M3486+M3547+M3276+M3214+M3653</f>
        <v>5111650</v>
      </c>
      <c r="N3716" s="9"/>
      <c r="O3716" s="36">
        <f>O3357+O3486+O3547+O3276+O3214+O3653</f>
        <v>31000</v>
      </c>
      <c r="P3716" s="9"/>
      <c r="Q3716" s="36">
        <f>Q3357+Q3486+Q3547+Q3276+Q3214+Q3653</f>
        <v>5142650</v>
      </c>
      <c r="R3716" s="9"/>
      <c r="U3716" s="9"/>
      <c r="V3716" s="9"/>
    </row>
    <row r="3717" spans="1:22" ht="11.85" customHeight="1" thickTop="1" x14ac:dyDescent="0.2">
      <c r="L3717" s="9"/>
      <c r="N3717" s="9"/>
      <c r="P3717" s="9"/>
    </row>
    <row r="3718" spans="1:22" ht="11.85" customHeight="1" thickBot="1" x14ac:dyDescent="0.25">
      <c r="A3718" s="3" t="s">
        <v>1124</v>
      </c>
      <c r="C3718" s="25">
        <f>C3079-C3716</f>
        <v>355570.55000000028</v>
      </c>
      <c r="E3718" s="25">
        <f>E3079-E3716</f>
        <v>439712.91000000061</v>
      </c>
      <c r="G3718" s="25">
        <f>G3079-G3716</f>
        <v>155396.55000000075</v>
      </c>
      <c r="I3718" s="36">
        <f>I3079-I3716</f>
        <v>-1424048</v>
      </c>
      <c r="J3718" s="9"/>
      <c r="K3718" s="36">
        <f>K3079-K3716</f>
        <v>-1435094</v>
      </c>
      <c r="L3718" s="9"/>
      <c r="M3718" s="36">
        <f>M3079-M3716</f>
        <v>-952550</v>
      </c>
      <c r="N3718" s="9"/>
      <c r="O3718" s="36">
        <f>O3079-O3716</f>
        <v>-31000</v>
      </c>
      <c r="P3718" s="9"/>
      <c r="Q3718" s="36">
        <f>Q3079-Q3716</f>
        <v>-983550</v>
      </c>
      <c r="U3718" s="9"/>
    </row>
    <row r="3719" spans="1:22" ht="11.85" customHeight="1" thickTop="1" x14ac:dyDescent="0.2">
      <c r="L3719" s="9"/>
      <c r="N3719" s="9"/>
      <c r="P3719" s="9"/>
    </row>
    <row r="3720" spans="1:22" ht="11.85" customHeight="1" x14ac:dyDescent="0.2">
      <c r="L3720" s="9"/>
      <c r="N3720" s="9"/>
      <c r="P3720" s="9"/>
    </row>
    <row r="3721" spans="1:22" ht="11.85" customHeight="1" x14ac:dyDescent="0.2">
      <c r="A3721" s="3" t="s">
        <v>1125</v>
      </c>
      <c r="L3721" s="9"/>
      <c r="N3721" s="9"/>
      <c r="P3721" s="9"/>
    </row>
    <row r="3722" spans="1:22" ht="11.85" customHeight="1" thickBot="1" x14ac:dyDescent="0.25">
      <c r="A3722" s="3" t="s">
        <v>17</v>
      </c>
      <c r="C3722" s="25">
        <f>C3004+C3079-C3716</f>
        <v>5918183.6700000009</v>
      </c>
      <c r="E3722" s="25">
        <f>E3004+E3079-E3716</f>
        <v>6357896.5800000019</v>
      </c>
      <c r="G3722" s="25">
        <f>G3004+G3079-G3716</f>
        <v>6513293.1300000027</v>
      </c>
      <c r="I3722" s="25">
        <f>I3004+I3079-I3716</f>
        <v>5089245.1300000027</v>
      </c>
      <c r="K3722" s="25">
        <f>K3004+K3079-K3716</f>
        <v>5078199.1300000027</v>
      </c>
      <c r="L3722" s="9"/>
      <c r="M3722" s="25">
        <f>M3004+M3079-M3716</f>
        <v>4125649.1300000027</v>
      </c>
      <c r="N3722" s="9"/>
      <c r="P3722" s="9"/>
      <c r="Q3722" s="25">
        <f>Q3004+Q3079-Q3716</f>
        <v>4094649.1300000027</v>
      </c>
      <c r="R3722" s="9"/>
      <c r="T3722" s="11"/>
      <c r="U3722" s="9"/>
    </row>
    <row r="3723" spans="1:22" ht="11.85" customHeight="1" thickTop="1" x14ac:dyDescent="0.2">
      <c r="L3723" s="9"/>
      <c r="N3723" s="9"/>
      <c r="P3723" s="9"/>
      <c r="R3723" s="9"/>
      <c r="U3723" s="9"/>
    </row>
    <row r="3724" spans="1:22" ht="11.85" customHeight="1" x14ac:dyDescent="0.2">
      <c r="L3724" s="9"/>
      <c r="N3724" s="9"/>
      <c r="P3724" s="9"/>
      <c r="R3724" s="9"/>
      <c r="U3724" s="9"/>
    </row>
    <row r="3725" spans="1:22" ht="11.85" customHeight="1" x14ac:dyDescent="0.2">
      <c r="L3725" s="9"/>
      <c r="N3725" s="9"/>
      <c r="P3725" s="9"/>
      <c r="R3725" s="9"/>
      <c r="U3725" s="9"/>
    </row>
    <row r="3726" spans="1:22" ht="11.85" customHeight="1" x14ac:dyDescent="0.2">
      <c r="L3726" s="9"/>
      <c r="N3726" s="9"/>
      <c r="P3726" s="9"/>
      <c r="R3726" s="9"/>
      <c r="U3726" s="9"/>
    </row>
    <row r="3727" spans="1:22" ht="11.85" customHeight="1" x14ac:dyDescent="0.2">
      <c r="L3727" s="9"/>
      <c r="N3727" s="9"/>
      <c r="P3727" s="9"/>
      <c r="R3727" s="9"/>
      <c r="U3727" s="9"/>
    </row>
    <row r="3728" spans="1:22" ht="11.85" customHeight="1" x14ac:dyDescent="0.2">
      <c r="L3728" s="9"/>
      <c r="N3728" s="9"/>
      <c r="P3728" s="9"/>
      <c r="R3728" s="9"/>
      <c r="U3728" s="9"/>
    </row>
    <row r="3729" spans="12:21" ht="11.85" customHeight="1" x14ac:dyDescent="0.2">
      <c r="L3729" s="9"/>
      <c r="N3729" s="9"/>
      <c r="P3729" s="9"/>
      <c r="R3729" s="9"/>
      <c r="U3729" s="9"/>
    </row>
    <row r="3730" spans="12:21" ht="11.85" customHeight="1" x14ac:dyDescent="0.2">
      <c r="L3730" s="9"/>
      <c r="N3730" s="9"/>
      <c r="P3730" s="9"/>
      <c r="R3730" s="9"/>
      <c r="U3730" s="9"/>
    </row>
    <row r="3731" spans="12:21" ht="11.85" customHeight="1" x14ac:dyDescent="0.2">
      <c r="L3731" s="9"/>
      <c r="N3731" s="9"/>
      <c r="P3731" s="9"/>
      <c r="R3731" s="9"/>
      <c r="U3731" s="9"/>
    </row>
    <row r="3732" spans="12:21" ht="11.85" customHeight="1" x14ac:dyDescent="0.2">
      <c r="L3732" s="9"/>
      <c r="N3732" s="9"/>
      <c r="P3732" s="9"/>
      <c r="R3732" s="9"/>
      <c r="U3732" s="9"/>
    </row>
    <row r="3733" spans="12:21" ht="11.85" customHeight="1" x14ac:dyDescent="0.2">
      <c r="L3733" s="9"/>
      <c r="N3733" s="9"/>
      <c r="P3733" s="9"/>
      <c r="R3733" s="9"/>
      <c r="U3733" s="9"/>
    </row>
    <row r="3734" spans="12:21" ht="11.85" customHeight="1" x14ac:dyDescent="0.2">
      <c r="L3734" s="9"/>
      <c r="N3734" s="9"/>
      <c r="P3734" s="9"/>
      <c r="R3734" s="9"/>
      <c r="U3734" s="9"/>
    </row>
    <row r="3735" spans="12:21" ht="11.85" customHeight="1" x14ac:dyDescent="0.2">
      <c r="L3735" s="9"/>
      <c r="N3735" s="9"/>
      <c r="P3735" s="9"/>
      <c r="R3735" s="9"/>
      <c r="U3735" s="9"/>
    </row>
    <row r="3736" spans="12:21" ht="11.85" customHeight="1" x14ac:dyDescent="0.2">
      <c r="L3736" s="9"/>
      <c r="N3736" s="9"/>
      <c r="P3736" s="9"/>
      <c r="R3736" s="9"/>
      <c r="U3736" s="9"/>
    </row>
    <row r="3737" spans="12:21" ht="11.85" customHeight="1" x14ac:dyDescent="0.2">
      <c r="L3737" s="9"/>
      <c r="N3737" s="9"/>
      <c r="P3737" s="9"/>
      <c r="R3737" s="9"/>
      <c r="U3737" s="9"/>
    </row>
    <row r="3738" spans="12:21" ht="11.85" customHeight="1" x14ac:dyDescent="0.2">
      <c r="L3738" s="9"/>
      <c r="N3738" s="9"/>
      <c r="P3738" s="9"/>
      <c r="R3738" s="9"/>
      <c r="U3738" s="9"/>
    </row>
    <row r="3739" spans="12:21" ht="11.85" customHeight="1" x14ac:dyDescent="0.2">
      <c r="L3739" s="9"/>
      <c r="N3739" s="9"/>
      <c r="P3739" s="9"/>
      <c r="R3739" s="9"/>
      <c r="U3739" s="9"/>
    </row>
    <row r="3740" spans="12:21" ht="11.85" customHeight="1" x14ac:dyDescent="0.2">
      <c r="L3740" s="9"/>
      <c r="N3740" s="9"/>
      <c r="P3740" s="9"/>
      <c r="R3740" s="9"/>
      <c r="U3740" s="9"/>
    </row>
    <row r="3741" spans="12:21" ht="11.85" customHeight="1" x14ac:dyDescent="0.2">
      <c r="L3741" s="9"/>
      <c r="N3741" s="9"/>
      <c r="P3741" s="9"/>
      <c r="R3741" s="9"/>
      <c r="U3741" s="9"/>
    </row>
    <row r="3742" spans="12:21" ht="11.85" customHeight="1" x14ac:dyDescent="0.2">
      <c r="L3742" s="9"/>
      <c r="N3742" s="9"/>
      <c r="P3742" s="9"/>
      <c r="R3742" s="9"/>
      <c r="U3742" s="9"/>
    </row>
    <row r="3743" spans="12:21" ht="11.45" customHeight="1" x14ac:dyDescent="0.2"/>
    <row r="3744" spans="12:21" ht="11.85" customHeight="1" x14ac:dyDescent="0.2"/>
    <row r="3745" spans="1:17" ht="11.85" customHeight="1" x14ac:dyDescent="0.2"/>
    <row r="3746" spans="1:17" ht="11.85" customHeight="1" x14ac:dyDescent="0.2"/>
    <row r="3747" spans="1:17" ht="11.85" customHeight="1" x14ac:dyDescent="0.2"/>
    <row r="3748" spans="1:17" ht="11.25" customHeight="1" x14ac:dyDescent="0.2">
      <c r="A3748" s="1"/>
      <c r="B3748" s="1"/>
      <c r="E3748" s="2" t="str">
        <f>$E$1</f>
        <v>CITY OF BRADY</v>
      </c>
    </row>
    <row r="3749" spans="1:17" ht="11.25" customHeight="1" x14ac:dyDescent="0.2">
      <c r="E3749" s="2" t="str">
        <f>$E$2</f>
        <v>BUDGET REPORT</v>
      </c>
    </row>
    <row r="3750" spans="1:17" ht="11.25" customHeight="1" x14ac:dyDescent="0.2">
      <c r="E3750" s="2" t="str">
        <f>$E$3</f>
        <v>FISCAL YEAR 2024 - 2025</v>
      </c>
    </row>
    <row r="3751" spans="1:17" ht="11.25" customHeight="1" x14ac:dyDescent="0.2">
      <c r="A3751" s="3" t="s">
        <v>1568</v>
      </c>
    </row>
    <row r="3752" spans="1:17" ht="11.25" customHeight="1" x14ac:dyDescent="0.2"/>
    <row r="3753" spans="1:17" ht="11.25" customHeight="1" x14ac:dyDescent="0.2">
      <c r="I3753" s="53" t="str">
        <f>$I$6</f>
        <v>(----- 2023-2024------)</v>
      </c>
      <c r="J3753" s="53"/>
      <c r="K3753" s="53"/>
      <c r="L3753" s="6"/>
      <c r="M3753" s="54" t="str">
        <f>$M$6</f>
        <v>2024-2025</v>
      </c>
      <c r="N3753" s="54"/>
      <c r="O3753" s="54"/>
      <c r="P3753" s="54"/>
      <c r="Q3753" s="54"/>
    </row>
    <row r="3754" spans="1:17" ht="11.25" customHeight="1" x14ac:dyDescent="0.2">
      <c r="C3754" s="5" t="str">
        <f>$C$7</f>
        <v>2020-2021</v>
      </c>
      <c r="D3754" s="5"/>
      <c r="E3754" s="5" t="str">
        <f>$E$7</f>
        <v>2021-2022</v>
      </c>
      <c r="F3754" s="5"/>
      <c r="G3754" s="5" t="str">
        <f>$G$7</f>
        <v>2022-2023</v>
      </c>
      <c r="H3754" s="5"/>
      <c r="I3754" s="5" t="s">
        <v>9</v>
      </c>
      <c r="J3754" s="5"/>
      <c r="K3754" s="5" t="str">
        <f>+$K$7</f>
        <v>PROJECTED</v>
      </c>
      <c r="L3754" s="6"/>
      <c r="M3754" s="5">
        <f>$M$7</f>
        <v>0</v>
      </c>
      <c r="N3754" s="6"/>
      <c r="O3754" s="5" t="str">
        <f>$O$7</f>
        <v>2024-2025</v>
      </c>
      <c r="P3754" s="6"/>
      <c r="Q3754" s="5" t="str">
        <f>$Q$7</f>
        <v>APPROVED</v>
      </c>
    </row>
    <row r="3755" spans="1:17" ht="11.25" customHeight="1" x14ac:dyDescent="0.2">
      <c r="A3755" s="7"/>
      <c r="C3755" s="8" t="s">
        <v>12</v>
      </c>
      <c r="D3755" s="5"/>
      <c r="E3755" s="8" t="s">
        <v>12</v>
      </c>
      <c r="F3755" s="5"/>
      <c r="G3755" s="8" t="s">
        <v>12</v>
      </c>
      <c r="H3755" s="5"/>
      <c r="I3755" s="8" t="s">
        <v>13</v>
      </c>
      <c r="J3755" s="5"/>
      <c r="K3755" s="8" t="s">
        <v>13</v>
      </c>
      <c r="L3755" s="6"/>
      <c r="M3755" s="8" t="str">
        <f>$M$8</f>
        <v>BASE</v>
      </c>
      <c r="N3755" s="6"/>
      <c r="O3755" s="8" t="str">
        <f>$O$8</f>
        <v>SUPPLEMENTAL</v>
      </c>
      <c r="P3755" s="6"/>
      <c r="Q3755" s="8" t="str">
        <f>$Q$8</f>
        <v>BUDGET</v>
      </c>
    </row>
    <row r="3756" spans="1:17" ht="11.25" customHeight="1" x14ac:dyDescent="0.2"/>
    <row r="3757" spans="1:17" ht="11.25" customHeight="1" x14ac:dyDescent="0.2">
      <c r="A3757" s="3" t="s">
        <v>16</v>
      </c>
      <c r="L3757" s="9"/>
      <c r="N3757" s="9"/>
      <c r="P3757" s="9"/>
    </row>
    <row r="3758" spans="1:17" ht="11.25" customHeight="1" x14ac:dyDescent="0.2">
      <c r="A3758" s="3" t="s">
        <v>17</v>
      </c>
      <c r="C3758" s="2">
        <v>28569919.420000002</v>
      </c>
      <c r="E3758" s="2">
        <f>+C3858</f>
        <v>15687065.510000002</v>
      </c>
      <c r="G3758" s="2">
        <f>+E3858</f>
        <v>8016671.8400000017</v>
      </c>
      <c r="I3758" s="2">
        <f>+G3858</f>
        <v>3899803.6400000006</v>
      </c>
      <c r="K3758" s="2">
        <f>+I3758</f>
        <v>3899803.6400000006</v>
      </c>
      <c r="L3758" s="9"/>
      <c r="M3758" s="9">
        <f>+K3858</f>
        <v>235797.6400000006</v>
      </c>
      <c r="N3758" s="9"/>
      <c r="P3758" s="9"/>
      <c r="Q3758" s="2">
        <f>+M3758</f>
        <v>235797.6400000006</v>
      </c>
    </row>
    <row r="3759" spans="1:17" ht="11.25" customHeight="1" x14ac:dyDescent="0.2">
      <c r="L3759" s="9"/>
      <c r="N3759" s="9"/>
      <c r="P3759" s="9"/>
    </row>
    <row r="3760" spans="1:17" ht="11.25" customHeight="1" x14ac:dyDescent="0.2">
      <c r="A3760" s="10" t="s">
        <v>18</v>
      </c>
      <c r="L3760" s="9"/>
      <c r="N3760" s="9"/>
      <c r="P3760" s="9"/>
    </row>
    <row r="3761" spans="1:17" ht="11.25" customHeight="1" x14ac:dyDescent="0.2">
      <c r="L3761" s="9"/>
      <c r="N3761" s="9"/>
      <c r="P3761" s="9"/>
    </row>
    <row r="3762" spans="1:17" ht="11.25" customHeight="1" x14ac:dyDescent="0.2">
      <c r="A3762" s="10" t="s">
        <v>1127</v>
      </c>
      <c r="L3762" s="9"/>
      <c r="N3762" s="9"/>
      <c r="P3762" s="9"/>
    </row>
    <row r="3763" spans="1:17" ht="11.25" customHeight="1" x14ac:dyDescent="0.2">
      <c r="A3763" s="3" t="s">
        <v>1569</v>
      </c>
      <c r="C3763" s="2">
        <v>2053.88</v>
      </c>
      <c r="E3763" s="2">
        <v>40048.49</v>
      </c>
      <c r="G3763" s="2">
        <v>171487.3</v>
      </c>
      <c r="I3763" s="2">
        <v>0</v>
      </c>
      <c r="K3763" s="2">
        <v>0</v>
      </c>
      <c r="L3763" s="9"/>
      <c r="M3763" s="2">
        <v>0</v>
      </c>
      <c r="N3763" s="9"/>
      <c r="O3763" s="2">
        <v>0</v>
      </c>
      <c r="P3763" s="9"/>
      <c r="Q3763" s="2">
        <f t="shared" ref="Q3763:Q3772" si="108">+M3763+O3763</f>
        <v>0</v>
      </c>
    </row>
    <row r="3764" spans="1:17" ht="11.25" customHeight="1" x14ac:dyDescent="0.2">
      <c r="A3764" s="3" t="s">
        <v>1570</v>
      </c>
      <c r="C3764" s="2">
        <v>3246.34</v>
      </c>
      <c r="E3764" s="2">
        <v>4963.08</v>
      </c>
      <c r="G3764" s="2">
        <v>5778.65</v>
      </c>
      <c r="I3764" s="2">
        <v>0</v>
      </c>
      <c r="K3764" s="2">
        <v>0</v>
      </c>
      <c r="L3764" s="9"/>
      <c r="M3764" s="2">
        <v>0</v>
      </c>
      <c r="N3764" s="9"/>
      <c r="O3764" s="2">
        <v>0</v>
      </c>
      <c r="P3764" s="9"/>
      <c r="Q3764" s="2">
        <f t="shared" si="108"/>
        <v>0</v>
      </c>
    </row>
    <row r="3765" spans="1:17" ht="11.25" customHeight="1" x14ac:dyDescent="0.2">
      <c r="A3765" s="3" t="s">
        <v>1571</v>
      </c>
      <c r="C3765" s="2">
        <v>5570.55</v>
      </c>
      <c r="E3765" s="2">
        <v>1512.04</v>
      </c>
      <c r="G3765" s="2">
        <v>12126.66</v>
      </c>
      <c r="I3765" s="2">
        <v>0</v>
      </c>
      <c r="K3765" s="2">
        <v>0</v>
      </c>
      <c r="L3765" s="9"/>
      <c r="M3765" s="2">
        <v>0</v>
      </c>
      <c r="N3765" s="9"/>
      <c r="O3765" s="2">
        <v>0</v>
      </c>
      <c r="P3765" s="9"/>
      <c r="Q3765" s="2">
        <f t="shared" si="108"/>
        <v>0</v>
      </c>
    </row>
    <row r="3766" spans="1:17" ht="11.25" customHeight="1" x14ac:dyDescent="0.2">
      <c r="A3766" s="3" t="s">
        <v>1572</v>
      </c>
      <c r="C3766" s="2">
        <v>0</v>
      </c>
      <c r="E3766" s="2">
        <v>0</v>
      </c>
      <c r="G3766" s="2">
        <v>0</v>
      </c>
      <c r="I3766" s="2">
        <v>800000</v>
      </c>
      <c r="K3766" s="2">
        <f>800000-800000</f>
        <v>0</v>
      </c>
      <c r="L3766" s="9"/>
      <c r="M3766" s="2">
        <v>1585500</v>
      </c>
      <c r="N3766" s="9"/>
      <c r="O3766" s="2">
        <v>0</v>
      </c>
      <c r="P3766" s="9"/>
      <c r="Q3766" s="2">
        <f t="shared" si="108"/>
        <v>1585500</v>
      </c>
    </row>
    <row r="3767" spans="1:17" ht="11.25" customHeight="1" x14ac:dyDescent="0.2">
      <c r="A3767" s="3" t="s">
        <v>1573</v>
      </c>
      <c r="C3767" s="2">
        <v>0</v>
      </c>
      <c r="E3767" s="2">
        <v>0</v>
      </c>
      <c r="G3767" s="2">
        <v>0</v>
      </c>
      <c r="I3767" s="2">
        <v>0</v>
      </c>
      <c r="K3767" s="2">
        <v>0</v>
      </c>
      <c r="L3767" s="9"/>
      <c r="M3767" s="2">
        <v>680000</v>
      </c>
      <c r="N3767" s="9"/>
      <c r="O3767" s="2">
        <v>0</v>
      </c>
      <c r="P3767" s="9"/>
      <c r="Q3767" s="2">
        <f t="shared" si="108"/>
        <v>680000</v>
      </c>
    </row>
    <row r="3768" spans="1:17" ht="11.25" customHeight="1" x14ac:dyDescent="0.2">
      <c r="A3768" s="3" t="s">
        <v>1574</v>
      </c>
      <c r="C3768" s="2">
        <v>0</v>
      </c>
      <c r="E3768" s="2">
        <v>0</v>
      </c>
      <c r="G3768" s="2">
        <v>0</v>
      </c>
      <c r="I3768" s="2">
        <v>0</v>
      </c>
      <c r="K3768" s="2">
        <v>0</v>
      </c>
      <c r="L3768" s="9"/>
      <c r="M3768" s="2">
        <v>0</v>
      </c>
      <c r="N3768" s="9"/>
      <c r="O3768" s="2">
        <v>30000</v>
      </c>
      <c r="P3768" s="9"/>
      <c r="Q3768" s="2">
        <f t="shared" si="108"/>
        <v>30000</v>
      </c>
    </row>
    <row r="3769" spans="1:17" ht="11.25" customHeight="1" x14ac:dyDescent="0.2">
      <c r="A3769" s="3" t="s">
        <v>1575</v>
      </c>
      <c r="C3769" s="2">
        <v>0</v>
      </c>
      <c r="E3769" s="2">
        <v>0</v>
      </c>
      <c r="G3769" s="2">
        <v>0</v>
      </c>
      <c r="I3769" s="2">
        <v>0</v>
      </c>
      <c r="K3769" s="2">
        <v>0</v>
      </c>
      <c r="L3769" s="9"/>
      <c r="M3769" s="2">
        <v>0</v>
      </c>
      <c r="N3769" s="9"/>
      <c r="O3769" s="2">
        <v>31224</v>
      </c>
      <c r="P3769" s="9"/>
      <c r="Q3769" s="2">
        <f t="shared" si="108"/>
        <v>31224</v>
      </c>
    </row>
    <row r="3770" spans="1:17" ht="11.25" customHeight="1" x14ac:dyDescent="0.2">
      <c r="A3770" s="3" t="s">
        <v>1576</v>
      </c>
      <c r="C3770" s="2">
        <v>0</v>
      </c>
      <c r="E3770" s="2">
        <v>0</v>
      </c>
      <c r="G3770" s="2">
        <v>0</v>
      </c>
      <c r="I3770" s="2">
        <v>0</v>
      </c>
      <c r="K3770" s="2">
        <v>0</v>
      </c>
      <c r="L3770" s="9"/>
      <c r="M3770" s="2">
        <v>0</v>
      </c>
      <c r="N3770" s="9"/>
      <c r="O3770" s="2">
        <v>2535000</v>
      </c>
      <c r="P3770" s="9"/>
      <c r="Q3770" s="2">
        <f t="shared" si="108"/>
        <v>2535000</v>
      </c>
    </row>
    <row r="3771" spans="1:17" ht="11.25" customHeight="1" x14ac:dyDescent="0.2">
      <c r="A3771" s="3" t="s">
        <v>1577</v>
      </c>
      <c r="C3771" s="12">
        <v>0</v>
      </c>
      <c r="E3771" s="12">
        <v>0</v>
      </c>
      <c r="G3771" s="12">
        <v>0</v>
      </c>
      <c r="I3771" s="12">
        <v>0</v>
      </c>
      <c r="K3771" s="12">
        <v>0</v>
      </c>
      <c r="L3771" s="9"/>
      <c r="M3771" s="12">
        <v>0</v>
      </c>
      <c r="N3771" s="9"/>
      <c r="O3771" s="12">
        <v>2638469</v>
      </c>
      <c r="P3771" s="9"/>
      <c r="Q3771" s="12">
        <f t="shared" si="108"/>
        <v>2638469</v>
      </c>
    </row>
    <row r="3772" spans="1:17" ht="11.25" hidden="1" customHeight="1" x14ac:dyDescent="0.2">
      <c r="C3772" s="12">
        <v>0</v>
      </c>
      <c r="E3772" s="12">
        <v>0</v>
      </c>
      <c r="G3772" s="12">
        <v>0</v>
      </c>
      <c r="I3772" s="12">
        <v>0</v>
      </c>
      <c r="K3772" s="12">
        <v>0</v>
      </c>
      <c r="L3772" s="9"/>
      <c r="M3772" s="12">
        <v>0</v>
      </c>
      <c r="N3772" s="9"/>
      <c r="O3772" s="12">
        <v>0</v>
      </c>
      <c r="P3772" s="9"/>
      <c r="Q3772" s="12">
        <f t="shared" si="108"/>
        <v>0</v>
      </c>
    </row>
    <row r="3773" spans="1:17" ht="11.25" customHeight="1" x14ac:dyDescent="0.2">
      <c r="A3773" s="3" t="s">
        <v>1130</v>
      </c>
      <c r="C3773" s="2">
        <f>SUM(C3763:C3772)</f>
        <v>10870.77</v>
      </c>
      <c r="E3773" s="2">
        <f>SUM(E3763:E3772)</f>
        <v>46523.61</v>
      </c>
      <c r="G3773" s="2">
        <f>SUM(G3763:G3772)</f>
        <v>189392.61</v>
      </c>
      <c r="I3773" s="2">
        <f>SUM(I3763:I3772)</f>
        <v>800000</v>
      </c>
      <c r="K3773" s="2">
        <f>SUM(K3763:K3772)</f>
        <v>0</v>
      </c>
      <c r="L3773" s="9"/>
      <c r="M3773" s="2">
        <f>SUM(M3763:M3772)</f>
        <v>2265500</v>
      </c>
      <c r="N3773" s="9"/>
      <c r="O3773" s="2">
        <f>SUM(O3763:O3772)</f>
        <v>5234693</v>
      </c>
      <c r="P3773" s="9"/>
      <c r="Q3773" s="2">
        <f>SUM(Q3763:Q3772)</f>
        <v>7500193</v>
      </c>
    </row>
    <row r="3774" spans="1:17" ht="11.25" customHeight="1" x14ac:dyDescent="0.2">
      <c r="L3774" s="9"/>
      <c r="N3774" s="9"/>
      <c r="P3774" s="9"/>
    </row>
    <row r="3775" spans="1:17" ht="11.85" customHeight="1" x14ac:dyDescent="0.2">
      <c r="A3775" s="10" t="s">
        <v>244</v>
      </c>
      <c r="L3775" s="9"/>
      <c r="N3775" s="9"/>
      <c r="P3775" s="9"/>
    </row>
    <row r="3776" spans="1:17" ht="11.85" customHeight="1" x14ac:dyDescent="0.2">
      <c r="A3776" s="3" t="s">
        <v>1578</v>
      </c>
      <c r="C3776" s="12">
        <v>330000</v>
      </c>
      <c r="E3776" s="12">
        <v>330000</v>
      </c>
      <c r="G3776" s="12">
        <v>330000</v>
      </c>
      <c r="I3776" s="12">
        <v>1330000</v>
      </c>
      <c r="K3776" s="12">
        <f>1330000-1000000</f>
        <v>330000</v>
      </c>
      <c r="L3776" s="9"/>
      <c r="M3776" s="12">
        <v>1057000</v>
      </c>
      <c r="N3776" s="9"/>
      <c r="O3776" s="12">
        <v>5000</v>
      </c>
      <c r="P3776" s="9"/>
      <c r="Q3776" s="12">
        <f>+M3776+O3776</f>
        <v>1062000</v>
      </c>
    </row>
    <row r="3777" spans="1:17" ht="11.85" customHeight="1" x14ac:dyDescent="0.2">
      <c r="A3777" s="3" t="s">
        <v>258</v>
      </c>
      <c r="C3777" s="2">
        <f>SUM(C3776:C3776)</f>
        <v>330000</v>
      </c>
      <c r="E3777" s="2">
        <f>SUM(E3776:E3776)</f>
        <v>330000</v>
      </c>
      <c r="G3777" s="2">
        <f>SUM(G3776:G3776)</f>
        <v>330000</v>
      </c>
      <c r="I3777" s="2">
        <f>SUM(I3776:I3776)</f>
        <v>1330000</v>
      </c>
      <c r="K3777" s="2">
        <f>SUM(K3776:K3776)</f>
        <v>330000</v>
      </c>
      <c r="L3777" s="9"/>
      <c r="M3777" s="2">
        <f>SUM(M3776:M3776)</f>
        <v>1057000</v>
      </c>
      <c r="N3777" s="9"/>
      <c r="O3777" s="2">
        <f>SUM(O3776:O3776)</f>
        <v>5000</v>
      </c>
      <c r="P3777" s="9"/>
      <c r="Q3777" s="2">
        <f>SUM(Q3776:Q3776)</f>
        <v>1062000</v>
      </c>
    </row>
    <row r="3778" spans="1:17" ht="11.85" customHeight="1" x14ac:dyDescent="0.2"/>
    <row r="3779" spans="1:17" ht="11.25" customHeight="1" thickBot="1" x14ac:dyDescent="0.25">
      <c r="A3779" s="3" t="s">
        <v>270</v>
      </c>
      <c r="C3779" s="25">
        <f>C3773+C3777</f>
        <v>340870.77</v>
      </c>
      <c r="E3779" s="25">
        <f>E3773+E3777</f>
        <v>376523.61</v>
      </c>
      <c r="G3779" s="25">
        <f>G3773+G3777</f>
        <v>519392.61</v>
      </c>
      <c r="I3779" s="25">
        <f>I3773+I3777</f>
        <v>2130000</v>
      </c>
      <c r="K3779" s="25">
        <f>K3773+K3777</f>
        <v>330000</v>
      </c>
      <c r="L3779" s="9"/>
      <c r="M3779" s="25">
        <f>M3773+M3777</f>
        <v>3322500</v>
      </c>
      <c r="N3779" s="9"/>
      <c r="O3779" s="25">
        <f>O3773+O3777</f>
        <v>5239693</v>
      </c>
      <c r="P3779" s="9"/>
      <c r="Q3779" s="25">
        <f>Q3773+Q3777</f>
        <v>8562193</v>
      </c>
    </row>
    <row r="3780" spans="1:17" ht="11.25" customHeight="1" thickTop="1" x14ac:dyDescent="0.2">
      <c r="L3780" s="9"/>
      <c r="N3780" s="9"/>
      <c r="P3780" s="9"/>
    </row>
    <row r="3781" spans="1:17" ht="11.25" customHeight="1" x14ac:dyDescent="0.2">
      <c r="L3781" s="9"/>
      <c r="N3781" s="9"/>
      <c r="P3781" s="9"/>
    </row>
    <row r="3782" spans="1:17" ht="11.25" customHeight="1" x14ac:dyDescent="0.2">
      <c r="A3782" s="3" t="s">
        <v>271</v>
      </c>
      <c r="C3782" s="2">
        <f>C3758+C3779</f>
        <v>28910790.190000001</v>
      </c>
      <c r="E3782" s="2">
        <f>E3758+E3779</f>
        <v>16063589.120000001</v>
      </c>
      <c r="G3782" s="2">
        <f>G3758+G3779</f>
        <v>8536064.4500000011</v>
      </c>
      <c r="I3782" s="2">
        <f>I3758+I3779</f>
        <v>6029803.6400000006</v>
      </c>
      <c r="K3782" s="2">
        <f>K3758+K3779</f>
        <v>4229803.6400000006</v>
      </c>
      <c r="L3782" s="9"/>
      <c r="M3782" s="2">
        <f>M3758+M3779</f>
        <v>3558297.6400000006</v>
      </c>
      <c r="N3782" s="9"/>
      <c r="P3782" s="9"/>
      <c r="Q3782" s="2">
        <f>Q3758+Q3779</f>
        <v>8797990.6400000006</v>
      </c>
    </row>
    <row r="3783" spans="1:17" ht="11.25" customHeight="1" x14ac:dyDescent="0.2"/>
    <row r="3784" spans="1:17" ht="11.85" customHeight="1" x14ac:dyDescent="0.2"/>
    <row r="3785" spans="1:17" ht="11.85" customHeight="1" x14ac:dyDescent="0.2"/>
    <row r="3786" spans="1:17" ht="11.85" customHeight="1" x14ac:dyDescent="0.2"/>
    <row r="3787" spans="1:17" ht="11.85" customHeight="1" x14ac:dyDescent="0.2"/>
    <row r="3788" spans="1:17" ht="11.85" customHeight="1" x14ac:dyDescent="0.2"/>
    <row r="3789" spans="1:17" ht="11.85" customHeight="1" x14ac:dyDescent="0.2"/>
    <row r="3790" spans="1:17" ht="11.85" customHeight="1" x14ac:dyDescent="0.2"/>
    <row r="3791" spans="1:17" ht="11.85" customHeight="1" x14ac:dyDescent="0.2"/>
    <row r="3792" spans="1:17" ht="11.85" customHeight="1" x14ac:dyDescent="0.2"/>
    <row r="3793" spans="1:17" ht="11.85" customHeight="1" x14ac:dyDescent="0.2"/>
    <row r="3794" spans="1:17" ht="11.85" customHeight="1" x14ac:dyDescent="0.2"/>
    <row r="3795" spans="1:17" ht="11.85" customHeight="1" x14ac:dyDescent="0.2"/>
    <row r="3796" spans="1:17" ht="11.85" customHeight="1" x14ac:dyDescent="0.2"/>
    <row r="3797" spans="1:17" ht="11.85" customHeight="1" x14ac:dyDescent="0.2"/>
    <row r="3798" spans="1:17" ht="11.85" customHeight="1" x14ac:dyDescent="0.2"/>
    <row r="3799" spans="1:17" ht="11.85" customHeight="1" x14ac:dyDescent="0.2"/>
    <row r="3800" spans="1:17" ht="11.85" customHeight="1" x14ac:dyDescent="0.2">
      <c r="A3800" s="1"/>
      <c r="B3800" s="1"/>
      <c r="E3800" s="2" t="str">
        <f>$E$1</f>
        <v>CITY OF BRADY</v>
      </c>
    </row>
    <row r="3801" spans="1:17" ht="11.85" customHeight="1" x14ac:dyDescent="0.2">
      <c r="E3801" s="2" t="str">
        <f>$E$2</f>
        <v>BUDGET REPORT</v>
      </c>
    </row>
    <row r="3802" spans="1:17" ht="11.85" customHeight="1" x14ac:dyDescent="0.2">
      <c r="E3802" s="2" t="str">
        <f>$E$3</f>
        <v>FISCAL YEAR 2024 - 2025</v>
      </c>
    </row>
    <row r="3803" spans="1:17" ht="11.85" customHeight="1" x14ac:dyDescent="0.2">
      <c r="A3803" s="3" t="s">
        <v>1568</v>
      </c>
    </row>
    <row r="3804" spans="1:17" ht="11.85" customHeight="1" x14ac:dyDescent="0.2">
      <c r="A3804" s="3" t="s">
        <v>1579</v>
      </c>
    </row>
    <row r="3805" spans="1:17" ht="11.85" customHeight="1" x14ac:dyDescent="0.2">
      <c r="I3805" s="53" t="str">
        <f>$I$6</f>
        <v>(----- 2023-2024------)</v>
      </c>
      <c r="J3805" s="53"/>
      <c r="K3805" s="53"/>
      <c r="L3805" s="6"/>
      <c r="M3805" s="54" t="str">
        <f>$M$6</f>
        <v>2024-2025</v>
      </c>
      <c r="N3805" s="54"/>
      <c r="O3805" s="54"/>
      <c r="P3805" s="54"/>
      <c r="Q3805" s="54"/>
    </row>
    <row r="3806" spans="1:17" ht="11.85" customHeight="1" x14ac:dyDescent="0.2">
      <c r="C3806" s="5" t="str">
        <f>$C$7</f>
        <v>2020-2021</v>
      </c>
      <c r="D3806" s="5"/>
      <c r="E3806" s="5" t="str">
        <f>$E$7</f>
        <v>2021-2022</v>
      </c>
      <c r="F3806" s="5"/>
      <c r="G3806" s="5" t="str">
        <f>$G$7</f>
        <v>2022-2023</v>
      </c>
      <c r="H3806" s="5"/>
      <c r="I3806" s="5" t="s">
        <v>9</v>
      </c>
      <c r="J3806" s="5"/>
      <c r="K3806" s="5" t="str">
        <f>+$K$7</f>
        <v>PROJECTED</v>
      </c>
      <c r="L3806" s="6"/>
      <c r="M3806" s="5">
        <f>$M$7</f>
        <v>0</v>
      </c>
      <c r="N3806" s="6"/>
      <c r="O3806" s="5" t="str">
        <f>$O$7</f>
        <v>2024-2025</v>
      </c>
      <c r="P3806" s="6"/>
      <c r="Q3806" s="5" t="str">
        <f>$Q$7</f>
        <v>APPROVED</v>
      </c>
    </row>
    <row r="3807" spans="1:17" ht="11.85" customHeight="1" x14ac:dyDescent="0.2">
      <c r="A3807" s="7" t="s">
        <v>273</v>
      </c>
      <c r="C3807" s="8" t="s">
        <v>12</v>
      </c>
      <c r="D3807" s="5"/>
      <c r="E3807" s="8" t="s">
        <v>12</v>
      </c>
      <c r="F3807" s="5"/>
      <c r="G3807" s="8" t="s">
        <v>12</v>
      </c>
      <c r="H3807" s="5"/>
      <c r="I3807" s="8" t="s">
        <v>13</v>
      </c>
      <c r="J3807" s="5"/>
      <c r="K3807" s="8" t="s">
        <v>13</v>
      </c>
      <c r="L3807" s="6"/>
      <c r="M3807" s="8" t="str">
        <f>$M$8</f>
        <v>BASE</v>
      </c>
      <c r="N3807" s="6"/>
      <c r="O3807" s="8" t="str">
        <f>$O$8</f>
        <v>SUPPLEMENTAL</v>
      </c>
      <c r="P3807" s="6"/>
      <c r="Q3807" s="8" t="str">
        <f>$Q$8</f>
        <v>BUDGET</v>
      </c>
    </row>
    <row r="3808" spans="1:17" ht="11.85" customHeight="1" x14ac:dyDescent="0.2"/>
    <row r="3809" spans="1:21" ht="11.85" customHeight="1" x14ac:dyDescent="0.2">
      <c r="A3809" s="10" t="s">
        <v>286</v>
      </c>
      <c r="L3809" s="9"/>
      <c r="N3809" s="9"/>
      <c r="P3809" s="9"/>
    </row>
    <row r="3810" spans="1:21" ht="11.85" customHeight="1" x14ac:dyDescent="0.2">
      <c r="A3810" s="10"/>
      <c r="L3810" s="9"/>
      <c r="N3810" s="9"/>
      <c r="P3810" s="9"/>
    </row>
    <row r="3811" spans="1:21" ht="11.85" customHeight="1" x14ac:dyDescent="0.2">
      <c r="A3811" s="3" t="s">
        <v>1580</v>
      </c>
      <c r="C3811" s="2">
        <v>0</v>
      </c>
      <c r="E3811" s="2">
        <v>2989360.01</v>
      </c>
      <c r="G3811" s="2">
        <v>4045483.15</v>
      </c>
      <c r="I3811" s="2">
        <v>500000</v>
      </c>
      <c r="K3811" s="2">
        <v>3612522</v>
      </c>
      <c r="L3811" s="9"/>
      <c r="M3811" s="2">
        <v>0</v>
      </c>
      <c r="N3811" s="9"/>
      <c r="O3811" s="2">
        <v>0</v>
      </c>
      <c r="P3811" s="9"/>
      <c r="Q3811" s="2">
        <f t="shared" ref="Q3811:Q3823" si="109">+M3811+O3811</f>
        <v>0</v>
      </c>
    </row>
    <row r="3812" spans="1:21" ht="11.85" customHeight="1" x14ac:dyDescent="0.2">
      <c r="A3812" s="3" t="s">
        <v>1581</v>
      </c>
      <c r="C3812" s="2">
        <v>322075</v>
      </c>
      <c r="E3812" s="2">
        <v>4281902.8</v>
      </c>
      <c r="G3812" s="2">
        <v>89022.2</v>
      </c>
      <c r="I3812" s="2">
        <v>0</v>
      </c>
      <c r="K3812" s="2">
        <v>2000</v>
      </c>
      <c r="L3812" s="9"/>
      <c r="M3812" s="2">
        <v>0</v>
      </c>
      <c r="N3812" s="9"/>
      <c r="O3812" s="2">
        <v>0</v>
      </c>
      <c r="P3812" s="9"/>
      <c r="Q3812" s="2">
        <f t="shared" si="109"/>
        <v>0</v>
      </c>
    </row>
    <row r="3813" spans="1:21" ht="11.85" customHeight="1" x14ac:dyDescent="0.2">
      <c r="A3813" s="3" t="s">
        <v>1582</v>
      </c>
      <c r="C3813" s="2">
        <f>12704155.01-322075</f>
        <v>12382080.01</v>
      </c>
      <c r="E3813" s="2">
        <v>407435.98</v>
      </c>
      <c r="G3813" s="2">
        <v>2228.16</v>
      </c>
      <c r="I3813" s="2">
        <v>0</v>
      </c>
      <c r="K3813" s="2">
        <v>49484</v>
      </c>
      <c r="L3813" s="9"/>
      <c r="M3813" s="2">
        <v>0</v>
      </c>
      <c r="N3813" s="9"/>
      <c r="O3813" s="2">
        <v>0</v>
      </c>
      <c r="P3813" s="9"/>
      <c r="Q3813" s="2">
        <f t="shared" si="109"/>
        <v>0</v>
      </c>
    </row>
    <row r="3814" spans="1:21" ht="11.85" customHeight="1" x14ac:dyDescent="0.2">
      <c r="A3814" s="3" t="s">
        <v>1583</v>
      </c>
      <c r="C3814" s="2">
        <v>0</v>
      </c>
      <c r="E3814" s="2">
        <v>0</v>
      </c>
      <c r="G3814" s="2">
        <v>0</v>
      </c>
      <c r="I3814" s="2">
        <v>1800000</v>
      </c>
      <c r="K3814" s="2">
        <f>1800000-1800000</f>
        <v>0</v>
      </c>
      <c r="L3814" s="9"/>
      <c r="M3814" s="2">
        <v>1585500</v>
      </c>
      <c r="N3814" s="9"/>
      <c r="O3814" s="2">
        <v>0</v>
      </c>
      <c r="P3814" s="9"/>
      <c r="Q3814" s="2">
        <f t="shared" si="109"/>
        <v>1585500</v>
      </c>
    </row>
    <row r="3815" spans="1:21" ht="11.85" customHeight="1" x14ac:dyDescent="0.2">
      <c r="A3815" s="3" t="s">
        <v>1584</v>
      </c>
      <c r="C3815" s="2">
        <v>0</v>
      </c>
      <c r="E3815" s="2">
        <v>0</v>
      </c>
      <c r="G3815" s="2">
        <v>0</v>
      </c>
      <c r="I3815" s="2">
        <v>0</v>
      </c>
      <c r="K3815" s="2">
        <v>0</v>
      </c>
      <c r="L3815" s="9"/>
      <c r="M3815" s="2">
        <v>680000</v>
      </c>
      <c r="N3815" s="9"/>
      <c r="O3815" s="2">
        <v>0</v>
      </c>
      <c r="P3815" s="9"/>
      <c r="Q3815" s="2">
        <f t="shared" si="109"/>
        <v>680000</v>
      </c>
    </row>
    <row r="3816" spans="1:21" ht="11.85" customHeight="1" x14ac:dyDescent="0.2">
      <c r="A3816" s="3" t="s">
        <v>1585</v>
      </c>
      <c r="C3816" s="2">
        <v>0</v>
      </c>
      <c r="E3816" s="2">
        <v>0</v>
      </c>
      <c r="G3816" s="2">
        <v>0</v>
      </c>
      <c r="I3816" s="2">
        <v>0</v>
      </c>
      <c r="K3816" s="2">
        <v>0</v>
      </c>
      <c r="L3816" s="9"/>
      <c r="M3816" s="2">
        <v>0</v>
      </c>
      <c r="N3816" s="9"/>
      <c r="O3816" s="2">
        <v>30000</v>
      </c>
      <c r="P3816" s="9"/>
      <c r="Q3816" s="2">
        <f t="shared" si="109"/>
        <v>30000</v>
      </c>
    </row>
    <row r="3817" spans="1:21" ht="11.85" customHeight="1" x14ac:dyDescent="0.2">
      <c r="A3817" s="3" t="s">
        <v>1586</v>
      </c>
      <c r="C3817" s="2">
        <v>0</v>
      </c>
      <c r="E3817" s="2">
        <v>0</v>
      </c>
      <c r="G3817" s="2">
        <v>0</v>
      </c>
      <c r="I3817" s="2">
        <v>0</v>
      </c>
      <c r="K3817" s="2">
        <v>0</v>
      </c>
      <c r="L3817" s="9"/>
      <c r="M3817" s="2">
        <v>0</v>
      </c>
      <c r="N3817" s="9"/>
      <c r="O3817" s="2">
        <v>31224</v>
      </c>
      <c r="P3817" s="9"/>
      <c r="Q3817" s="2">
        <f t="shared" si="109"/>
        <v>31224</v>
      </c>
    </row>
    <row r="3818" spans="1:21" ht="11.85" customHeight="1" x14ac:dyDescent="0.2">
      <c r="A3818" s="3" t="s">
        <v>1587</v>
      </c>
      <c r="C3818" s="2">
        <v>0</v>
      </c>
      <c r="E3818" s="2">
        <v>0</v>
      </c>
      <c r="G3818" s="2">
        <v>0</v>
      </c>
      <c r="I3818" s="2">
        <v>0</v>
      </c>
      <c r="K3818" s="2">
        <v>0</v>
      </c>
      <c r="L3818" s="9"/>
      <c r="M3818" s="2">
        <v>0</v>
      </c>
      <c r="N3818" s="9"/>
      <c r="O3818" s="2">
        <v>2535000</v>
      </c>
      <c r="P3818" s="9"/>
      <c r="Q3818" s="2">
        <f t="shared" si="109"/>
        <v>2535000</v>
      </c>
    </row>
    <row r="3819" spans="1:21" ht="11.85" customHeight="1" x14ac:dyDescent="0.2">
      <c r="A3819" s="3" t="s">
        <v>1588</v>
      </c>
      <c r="C3819" s="2">
        <v>0</v>
      </c>
      <c r="E3819" s="2">
        <v>0</v>
      </c>
      <c r="G3819" s="2">
        <v>0</v>
      </c>
      <c r="I3819" s="2">
        <v>0</v>
      </c>
      <c r="K3819" s="2">
        <v>0</v>
      </c>
      <c r="L3819" s="9"/>
      <c r="M3819" s="2">
        <v>0</v>
      </c>
      <c r="N3819" s="9"/>
      <c r="O3819" s="2">
        <v>2638469</v>
      </c>
      <c r="P3819" s="9"/>
      <c r="Q3819" s="2">
        <f t="shared" si="109"/>
        <v>2638469</v>
      </c>
    </row>
    <row r="3820" spans="1:21" ht="11.85" customHeight="1" x14ac:dyDescent="0.2">
      <c r="A3820" s="3" t="s">
        <v>1589</v>
      </c>
      <c r="C3820" s="12">
        <v>189569.67</v>
      </c>
      <c r="E3820" s="12">
        <v>38218.49</v>
      </c>
      <c r="G3820" s="12">
        <v>169527.3</v>
      </c>
      <c r="I3820" s="12">
        <v>0</v>
      </c>
      <c r="K3820" s="12">
        <v>0</v>
      </c>
      <c r="L3820" s="9"/>
      <c r="M3820" s="12">
        <v>0</v>
      </c>
      <c r="N3820" s="9"/>
      <c r="O3820" s="12">
        <v>0</v>
      </c>
      <c r="P3820" s="9"/>
      <c r="Q3820" s="12">
        <f t="shared" si="109"/>
        <v>0</v>
      </c>
    </row>
    <row r="3821" spans="1:21" ht="11.85" hidden="1" customHeight="1" x14ac:dyDescent="0.2">
      <c r="C3821" s="2">
        <v>0</v>
      </c>
      <c r="E3821" s="2">
        <v>0</v>
      </c>
      <c r="G3821" s="2">
        <v>0</v>
      </c>
      <c r="I3821" s="2">
        <v>0</v>
      </c>
      <c r="K3821" s="2">
        <v>0</v>
      </c>
      <c r="L3821" s="9"/>
      <c r="M3821" s="2">
        <v>0</v>
      </c>
      <c r="N3821" s="9"/>
      <c r="O3821" s="2">
        <v>0</v>
      </c>
      <c r="P3821" s="9"/>
      <c r="Q3821" s="2">
        <f t="shared" si="109"/>
        <v>0</v>
      </c>
    </row>
    <row r="3822" spans="1:21" ht="11.85" hidden="1" customHeight="1" x14ac:dyDescent="0.2">
      <c r="C3822" s="2">
        <v>0</v>
      </c>
      <c r="E3822" s="2">
        <v>0</v>
      </c>
      <c r="G3822" s="2">
        <v>0</v>
      </c>
      <c r="I3822" s="2">
        <v>0</v>
      </c>
      <c r="K3822" s="2">
        <v>0</v>
      </c>
      <c r="L3822" s="9"/>
      <c r="M3822" s="2">
        <v>0</v>
      </c>
      <c r="N3822" s="9"/>
      <c r="O3822" s="2">
        <v>0</v>
      </c>
      <c r="P3822" s="9"/>
      <c r="Q3822" s="2">
        <f t="shared" si="109"/>
        <v>0</v>
      </c>
    </row>
    <row r="3823" spans="1:21" ht="11.85" hidden="1" customHeight="1" x14ac:dyDescent="0.2">
      <c r="C3823" s="12">
        <v>0</v>
      </c>
      <c r="E3823" s="12">
        <v>0</v>
      </c>
      <c r="G3823" s="12">
        <v>0</v>
      </c>
      <c r="I3823" s="12">
        <v>0</v>
      </c>
      <c r="K3823" s="12">
        <v>0</v>
      </c>
      <c r="L3823" s="9"/>
      <c r="M3823" s="12">
        <v>0</v>
      </c>
      <c r="N3823" s="9"/>
      <c r="O3823" s="12">
        <v>0</v>
      </c>
      <c r="P3823" s="9"/>
      <c r="Q3823" s="12">
        <f t="shared" si="109"/>
        <v>0</v>
      </c>
    </row>
    <row r="3824" spans="1:21" ht="11.85" customHeight="1" x14ac:dyDescent="0.2">
      <c r="A3824" s="3" t="s">
        <v>304</v>
      </c>
      <c r="C3824" s="2">
        <f>SUM(C3811:C3823)</f>
        <v>12893724.68</v>
      </c>
      <c r="E3824" s="2">
        <f>SUM(E3811:E3823)</f>
        <v>7716917.2799999993</v>
      </c>
      <c r="G3824" s="2">
        <f>SUM(G3811:G3823)</f>
        <v>4306260.8100000005</v>
      </c>
      <c r="I3824" s="2">
        <f>SUM(I3811:I3823)</f>
        <v>2300000</v>
      </c>
      <c r="K3824" s="2">
        <f>SUM(K3811:K3823)</f>
        <v>3664006</v>
      </c>
      <c r="L3824" s="9"/>
      <c r="M3824" s="37">
        <f>SUM(M3811:M3823)</f>
        <v>2265500</v>
      </c>
      <c r="N3824" s="9"/>
      <c r="O3824" s="9">
        <f>SUM(O3811:O3823)</f>
        <v>5234693</v>
      </c>
      <c r="P3824" s="9"/>
      <c r="Q3824" s="9">
        <f>SUM(Q3811:Q3823)</f>
        <v>7500193</v>
      </c>
      <c r="U3824" s="9"/>
    </row>
    <row r="3825" spans="1:22" ht="11.85" customHeight="1" x14ac:dyDescent="0.2"/>
    <row r="3826" spans="1:22" ht="11.85" customHeight="1" x14ac:dyDescent="0.2"/>
    <row r="3827" spans="1:22" ht="11.85" customHeight="1" x14ac:dyDescent="0.2">
      <c r="A3827" s="10" t="s">
        <v>305</v>
      </c>
      <c r="L3827" s="9"/>
      <c r="N3827" s="9"/>
      <c r="P3827" s="9"/>
    </row>
    <row r="3828" spans="1:22" ht="11.85" customHeight="1" x14ac:dyDescent="0.2">
      <c r="A3828" s="3" t="s">
        <v>1590</v>
      </c>
      <c r="C3828" s="12">
        <v>0</v>
      </c>
      <c r="E3828" s="12">
        <v>0</v>
      </c>
      <c r="G3828" s="12">
        <v>0</v>
      </c>
      <c r="I3828" s="12">
        <v>0</v>
      </c>
      <c r="K3828" s="12">
        <v>0</v>
      </c>
      <c r="L3828" s="9"/>
      <c r="M3828" s="12">
        <v>17000</v>
      </c>
      <c r="N3828" s="9"/>
      <c r="O3828" s="12">
        <v>0</v>
      </c>
      <c r="P3828" s="9"/>
      <c r="Q3828" s="12">
        <f>M3828+O3828</f>
        <v>17000</v>
      </c>
    </row>
    <row r="3829" spans="1:22" ht="11.85" customHeight="1" x14ac:dyDescent="0.2">
      <c r="A3829" s="3" t="s">
        <v>336</v>
      </c>
      <c r="C3829" s="2">
        <f>SUM(C3828:C3828)</f>
        <v>0</v>
      </c>
      <c r="E3829" s="2">
        <f>SUM(E3828:E3828)</f>
        <v>0</v>
      </c>
      <c r="G3829" s="2">
        <f>SUM(G3828:G3828)</f>
        <v>0</v>
      </c>
      <c r="I3829" s="2">
        <f>SUM(I3828:I3828)</f>
        <v>0</v>
      </c>
      <c r="K3829" s="2">
        <f>SUM(K3828:K3828)</f>
        <v>0</v>
      </c>
      <c r="L3829" s="9"/>
      <c r="M3829" s="2">
        <f>SUM(M3828:M3828)</f>
        <v>17000</v>
      </c>
      <c r="N3829" s="9"/>
      <c r="O3829" s="2">
        <f>SUM(O3828:O3828)</f>
        <v>0</v>
      </c>
      <c r="P3829" s="9"/>
      <c r="Q3829" s="2">
        <f>SUM(Q3828:Q3828)</f>
        <v>17000</v>
      </c>
      <c r="V3829" s="38"/>
    </row>
    <row r="3830" spans="1:22" ht="11.85" customHeight="1" x14ac:dyDescent="0.2"/>
    <row r="3831" spans="1:22" ht="11.85" customHeight="1" x14ac:dyDescent="0.2">
      <c r="A3831" s="10" t="s">
        <v>332</v>
      </c>
      <c r="L3831" s="9"/>
      <c r="N3831" s="9"/>
      <c r="P3831" s="9"/>
    </row>
    <row r="3832" spans="1:22" ht="11.85" customHeight="1" x14ac:dyDescent="0.2">
      <c r="A3832" s="3" t="s">
        <v>1591</v>
      </c>
      <c r="C3832" s="12">
        <v>330000</v>
      </c>
      <c r="E3832" s="12">
        <v>330000</v>
      </c>
      <c r="G3832" s="12">
        <v>330000</v>
      </c>
      <c r="I3832" s="12">
        <v>330000</v>
      </c>
      <c r="K3832" s="12">
        <v>330000</v>
      </c>
      <c r="L3832" s="9"/>
      <c r="M3832" s="12">
        <v>1040000</v>
      </c>
      <c r="N3832" s="9"/>
      <c r="O3832" s="12">
        <v>5000</v>
      </c>
      <c r="P3832" s="9"/>
      <c r="Q3832" s="12">
        <f>M3832+O3832</f>
        <v>1045000</v>
      </c>
    </row>
    <row r="3833" spans="1:22" ht="11.85" customHeight="1" x14ac:dyDescent="0.2">
      <c r="A3833" s="3" t="s">
        <v>336</v>
      </c>
      <c r="C3833" s="2">
        <f>SUM(C3832:C3832)</f>
        <v>330000</v>
      </c>
      <c r="E3833" s="2">
        <f>SUM(E3832:E3832)</f>
        <v>330000</v>
      </c>
      <c r="G3833" s="2">
        <f>SUM(G3832:G3832)</f>
        <v>330000</v>
      </c>
      <c r="I3833" s="2">
        <f>SUM(I3832:I3832)</f>
        <v>330000</v>
      </c>
      <c r="K3833" s="2">
        <f>SUM(K3832:K3832)</f>
        <v>330000</v>
      </c>
      <c r="L3833" s="9"/>
      <c r="M3833" s="2">
        <f>SUM(M3832:M3832)</f>
        <v>1040000</v>
      </c>
      <c r="N3833" s="9"/>
      <c r="O3833" s="2">
        <f>SUM(O3832:O3832)</f>
        <v>5000</v>
      </c>
      <c r="P3833" s="9"/>
      <c r="Q3833" s="2">
        <f>SUM(Q3832:Q3832)</f>
        <v>1045000</v>
      </c>
      <c r="V3833" s="38"/>
    </row>
    <row r="3834" spans="1:22" ht="11.85" customHeight="1" x14ac:dyDescent="0.2">
      <c r="L3834" s="9"/>
      <c r="N3834" s="9"/>
      <c r="P3834" s="9"/>
      <c r="T3834" s="11"/>
    </row>
    <row r="3835" spans="1:22" ht="11.85" customHeight="1" x14ac:dyDescent="0.2">
      <c r="A3835" s="3" t="s">
        <v>1592</v>
      </c>
      <c r="C3835" s="2">
        <f>+C3824+C3833+C3829</f>
        <v>13223724.68</v>
      </c>
      <c r="E3835" s="2">
        <f>+E3824+E3833+E3829</f>
        <v>8046917.2799999993</v>
      </c>
      <c r="G3835" s="2">
        <f>+G3824+G3833+G3829</f>
        <v>4636260.8100000005</v>
      </c>
      <c r="I3835" s="2">
        <f>+I3824+I3833+I3829</f>
        <v>2630000</v>
      </c>
      <c r="K3835" s="2">
        <f>+K3824+K3833+K3829</f>
        <v>3994006</v>
      </c>
      <c r="L3835" s="9"/>
      <c r="M3835" s="9">
        <f>+M3824+M3833+M3829</f>
        <v>3322500</v>
      </c>
      <c r="N3835" s="9"/>
      <c r="O3835" s="9">
        <f>+O3824+O3833+O3829</f>
        <v>5239693</v>
      </c>
      <c r="P3835" s="9"/>
      <c r="Q3835" s="9">
        <f>+Q3824+Q3833+Q3829</f>
        <v>8562193</v>
      </c>
      <c r="R3835" s="9"/>
      <c r="U3835" s="13"/>
    </row>
    <row r="3836" spans="1:22" ht="11.85" customHeight="1" x14ac:dyDescent="0.2">
      <c r="L3836" s="9"/>
      <c r="N3836" s="9"/>
      <c r="P3836" s="9"/>
      <c r="T3836" s="11"/>
    </row>
    <row r="3837" spans="1:22" ht="11.85" customHeight="1" x14ac:dyDescent="0.2">
      <c r="L3837" s="9"/>
      <c r="N3837" s="9"/>
      <c r="P3837" s="9"/>
    </row>
    <row r="3838" spans="1:22" ht="11.85" customHeight="1" x14ac:dyDescent="0.2">
      <c r="L3838" s="9"/>
      <c r="N3838" s="9"/>
      <c r="P3838" s="9"/>
    </row>
    <row r="3839" spans="1:22" ht="11.85" customHeight="1" x14ac:dyDescent="0.2">
      <c r="L3839" s="9"/>
      <c r="N3839" s="9"/>
      <c r="P3839" s="9"/>
    </row>
    <row r="3840" spans="1:22" ht="11.85" customHeight="1" x14ac:dyDescent="0.2">
      <c r="L3840" s="9"/>
      <c r="N3840" s="9"/>
      <c r="P3840" s="9"/>
    </row>
    <row r="3841" spans="1:20" ht="11.85" customHeight="1" x14ac:dyDescent="0.2">
      <c r="L3841" s="9"/>
      <c r="N3841" s="9"/>
      <c r="P3841" s="9"/>
    </row>
    <row r="3842" spans="1:20" ht="11.25" customHeight="1" x14ac:dyDescent="0.2">
      <c r="A3842" s="1"/>
      <c r="B3842" s="1"/>
      <c r="E3842" s="2" t="str">
        <f>$E$1</f>
        <v>CITY OF BRADY</v>
      </c>
    </row>
    <row r="3843" spans="1:20" ht="11.25" customHeight="1" x14ac:dyDescent="0.2">
      <c r="E3843" s="2" t="str">
        <f>$E$2</f>
        <v>BUDGET REPORT</v>
      </c>
    </row>
    <row r="3844" spans="1:20" ht="11.25" customHeight="1" x14ac:dyDescent="0.2">
      <c r="E3844" s="2" t="str">
        <f>$E$3</f>
        <v>FISCAL YEAR 2024 - 2025</v>
      </c>
    </row>
    <row r="3845" spans="1:20" ht="11.25" customHeight="1" x14ac:dyDescent="0.2">
      <c r="A3845" s="3" t="s">
        <v>1568</v>
      </c>
    </row>
    <row r="3846" spans="1:20" ht="11.25" customHeight="1" x14ac:dyDescent="0.2"/>
    <row r="3847" spans="1:20" ht="11.25" customHeight="1" x14ac:dyDescent="0.2">
      <c r="I3847" s="53" t="str">
        <f>$I$6</f>
        <v>(----- 2023-2024------)</v>
      </c>
      <c r="J3847" s="53"/>
      <c r="K3847" s="53"/>
      <c r="L3847" s="6"/>
      <c r="M3847" s="54" t="str">
        <f>$M$6</f>
        <v>2024-2025</v>
      </c>
      <c r="N3847" s="54"/>
      <c r="O3847" s="54"/>
      <c r="P3847" s="54"/>
      <c r="Q3847" s="54"/>
    </row>
    <row r="3848" spans="1:20" ht="11.25" customHeight="1" x14ac:dyDescent="0.2">
      <c r="C3848" s="5" t="str">
        <f>$C$7</f>
        <v>2020-2021</v>
      </c>
      <c r="D3848" s="5"/>
      <c r="E3848" s="5" t="str">
        <f>$E$7</f>
        <v>2021-2022</v>
      </c>
      <c r="F3848" s="5"/>
      <c r="G3848" s="5" t="str">
        <f>$G$7</f>
        <v>2022-2023</v>
      </c>
      <c r="H3848" s="5"/>
      <c r="I3848" s="5" t="s">
        <v>9</v>
      </c>
      <c r="J3848" s="5"/>
      <c r="K3848" s="5" t="str">
        <f>+$K$7</f>
        <v>PROJECTED</v>
      </c>
      <c r="L3848" s="6"/>
      <c r="M3848" s="5">
        <f>$M$7</f>
        <v>0</v>
      </c>
      <c r="N3848" s="6"/>
      <c r="O3848" s="5" t="str">
        <f>$O$7</f>
        <v>2024-2025</v>
      </c>
      <c r="P3848" s="6"/>
      <c r="Q3848" s="5" t="str">
        <f>$Q$7</f>
        <v>APPROVED</v>
      </c>
    </row>
    <row r="3849" spans="1:20" ht="11.25" customHeight="1" x14ac:dyDescent="0.2">
      <c r="A3849" s="7" t="s">
        <v>273</v>
      </c>
      <c r="C3849" s="8" t="s">
        <v>12</v>
      </c>
      <c r="D3849" s="5"/>
      <c r="E3849" s="8" t="s">
        <v>12</v>
      </c>
      <c r="F3849" s="5"/>
      <c r="G3849" s="8" t="s">
        <v>12</v>
      </c>
      <c r="H3849" s="5"/>
      <c r="I3849" s="8" t="s">
        <v>13</v>
      </c>
      <c r="J3849" s="5"/>
      <c r="K3849" s="8" t="s">
        <v>13</v>
      </c>
      <c r="L3849" s="6"/>
      <c r="M3849" s="8" t="str">
        <f>$M$8</f>
        <v>BASE</v>
      </c>
      <c r="N3849" s="6"/>
      <c r="O3849" s="8" t="str">
        <f>$O$8</f>
        <v>SUPPLEMENTAL</v>
      </c>
      <c r="P3849" s="6"/>
      <c r="Q3849" s="8" t="str">
        <f>$Q$8</f>
        <v>BUDGET</v>
      </c>
    </row>
    <row r="3850" spans="1:20" s="39" customFormat="1" ht="10.15" customHeight="1" x14ac:dyDescent="0.25">
      <c r="C3850" s="40"/>
      <c r="D3850" s="40"/>
      <c r="E3850" s="40"/>
      <c r="F3850" s="40"/>
      <c r="G3850" s="40"/>
      <c r="H3850" s="40"/>
      <c r="I3850" s="40"/>
      <c r="J3850" s="40"/>
      <c r="K3850" s="40"/>
      <c r="M3850" s="40"/>
      <c r="O3850" s="40"/>
      <c r="Q3850" s="40"/>
      <c r="S3850" s="40"/>
      <c r="T3850" s="4"/>
    </row>
    <row r="3851" spans="1:20" s="39" customFormat="1" ht="11.25" customHeight="1" x14ac:dyDescent="0.25">
      <c r="C3851" s="41"/>
      <c r="D3851" s="41"/>
      <c r="E3851" s="41"/>
      <c r="F3851" s="41"/>
      <c r="G3851" s="41"/>
      <c r="H3851" s="41"/>
      <c r="I3851" s="41"/>
      <c r="J3851" s="41"/>
      <c r="K3851" s="41"/>
      <c r="L3851" s="41"/>
      <c r="M3851" s="41"/>
      <c r="N3851" s="41"/>
      <c r="O3851" s="41"/>
      <c r="P3851" s="41"/>
      <c r="Q3851" s="41"/>
      <c r="S3851" s="40"/>
      <c r="T3851" s="4"/>
    </row>
    <row r="3852" spans="1:20" s="39" customFormat="1" ht="11.25" customHeight="1" thickBot="1" x14ac:dyDescent="0.3">
      <c r="A3852" s="3" t="s">
        <v>1123</v>
      </c>
      <c r="B3852" s="3"/>
      <c r="C3852" s="36">
        <f>+C3835</f>
        <v>13223724.68</v>
      </c>
      <c r="D3852" s="9"/>
      <c r="E3852" s="36">
        <f>+E3835</f>
        <v>8046917.2799999993</v>
      </c>
      <c r="F3852" s="9"/>
      <c r="G3852" s="36">
        <f>+G3835</f>
        <v>4636260.8100000005</v>
      </c>
      <c r="H3852" s="9"/>
      <c r="I3852" s="36">
        <f>+I3835</f>
        <v>2630000</v>
      </c>
      <c r="J3852" s="9"/>
      <c r="K3852" s="36">
        <f>+K3835</f>
        <v>3994006</v>
      </c>
      <c r="L3852" s="9"/>
      <c r="M3852" s="36">
        <f>+M3835</f>
        <v>3322500</v>
      </c>
      <c r="N3852" s="9"/>
      <c r="O3852" s="36">
        <f>+O3835</f>
        <v>5239693</v>
      </c>
      <c r="P3852" s="9"/>
      <c r="Q3852" s="36">
        <f>+Q3835</f>
        <v>8562193</v>
      </c>
      <c r="R3852" s="3"/>
      <c r="S3852" s="40"/>
      <c r="T3852" s="4"/>
    </row>
    <row r="3853" spans="1:20" s="39" customFormat="1" ht="11.25" customHeight="1" thickTop="1" x14ac:dyDescent="0.25">
      <c r="A3853" s="3"/>
      <c r="B3853" s="3"/>
      <c r="C3853" s="9"/>
      <c r="D3853" s="9"/>
      <c r="E3853" s="9"/>
      <c r="F3853" s="9"/>
      <c r="G3853" s="9"/>
      <c r="H3853" s="9"/>
      <c r="I3853" s="9"/>
      <c r="J3853" s="9"/>
      <c r="K3853" s="9"/>
      <c r="L3853" s="9"/>
      <c r="M3853" s="9"/>
      <c r="N3853" s="9"/>
      <c r="O3853" s="9"/>
      <c r="P3853" s="9"/>
      <c r="Q3853" s="9"/>
      <c r="R3853" s="3"/>
      <c r="S3853" s="40"/>
      <c r="T3853" s="4"/>
    </row>
    <row r="3854" spans="1:20" s="39" customFormat="1" ht="11.25" customHeight="1" thickBot="1" x14ac:dyDescent="0.3">
      <c r="A3854" s="3" t="s">
        <v>1124</v>
      </c>
      <c r="B3854" s="3"/>
      <c r="C3854" s="36">
        <f>C3779-C3852</f>
        <v>-12882853.91</v>
      </c>
      <c r="D3854" s="9"/>
      <c r="E3854" s="36">
        <f>E3779-E3852</f>
        <v>-7670393.669999999</v>
      </c>
      <c r="F3854" s="9"/>
      <c r="G3854" s="36">
        <f>G3779-G3852</f>
        <v>-4116868.2000000007</v>
      </c>
      <c r="H3854" s="9"/>
      <c r="I3854" s="36">
        <f>I3779-I3852</f>
        <v>-500000</v>
      </c>
      <c r="J3854" s="9"/>
      <c r="K3854" s="36">
        <f>K3779-K3852</f>
        <v>-3664006</v>
      </c>
      <c r="L3854" s="9"/>
      <c r="M3854" s="36">
        <f>M3779-M3852</f>
        <v>0</v>
      </c>
      <c r="N3854" s="9"/>
      <c r="O3854" s="36">
        <f>O3779-O3852</f>
        <v>0</v>
      </c>
      <c r="P3854" s="9"/>
      <c r="Q3854" s="36">
        <f>Q3779-Q3852</f>
        <v>0</v>
      </c>
      <c r="R3854" s="3"/>
      <c r="S3854" s="40"/>
      <c r="T3854" s="4"/>
    </row>
    <row r="3855" spans="1:20" s="39" customFormat="1" ht="11.25" customHeight="1" thickTop="1" x14ac:dyDescent="0.25">
      <c r="A3855" s="3"/>
      <c r="B3855" s="3"/>
      <c r="C3855" s="9"/>
      <c r="D3855" s="9"/>
      <c r="E3855" s="9"/>
      <c r="F3855" s="9"/>
      <c r="G3855" s="9"/>
      <c r="H3855" s="9"/>
      <c r="I3855" s="9"/>
      <c r="J3855" s="9"/>
      <c r="K3855" s="9"/>
      <c r="L3855" s="9"/>
      <c r="M3855" s="9"/>
      <c r="N3855" s="9"/>
      <c r="O3855" s="9"/>
      <c r="P3855" s="9"/>
      <c r="Q3855" s="9"/>
      <c r="R3855" s="3"/>
      <c r="S3855" s="40"/>
      <c r="T3855" s="4"/>
    </row>
    <row r="3856" spans="1:20" s="39" customFormat="1" ht="11.25" customHeight="1" x14ac:dyDescent="0.25">
      <c r="A3856" s="3"/>
      <c r="B3856" s="3"/>
      <c r="C3856" s="9"/>
      <c r="D3856" s="9"/>
      <c r="E3856" s="9"/>
      <c r="F3856" s="9"/>
      <c r="G3856" s="9"/>
      <c r="H3856" s="9"/>
      <c r="I3856" s="9"/>
      <c r="J3856" s="9"/>
      <c r="K3856" s="9"/>
      <c r="L3856" s="9"/>
      <c r="M3856" s="9"/>
      <c r="N3856" s="9"/>
      <c r="O3856" s="9"/>
      <c r="P3856" s="9"/>
      <c r="Q3856" s="9"/>
      <c r="R3856" s="3"/>
      <c r="S3856" s="40"/>
      <c r="T3856" s="4"/>
    </row>
    <row r="3857" spans="1:20" s="39" customFormat="1" ht="11.25" customHeight="1" x14ac:dyDescent="0.25">
      <c r="A3857" s="3" t="s">
        <v>1125</v>
      </c>
      <c r="B3857" s="3"/>
      <c r="C3857" s="9"/>
      <c r="D3857" s="9"/>
      <c r="E3857" s="9"/>
      <c r="F3857" s="9"/>
      <c r="G3857" s="9"/>
      <c r="H3857" s="9"/>
      <c r="I3857" s="9"/>
      <c r="J3857" s="9"/>
      <c r="K3857" s="9"/>
      <c r="L3857" s="9"/>
      <c r="M3857" s="9"/>
      <c r="N3857" s="9"/>
      <c r="O3857" s="9"/>
      <c r="P3857" s="9"/>
      <c r="Q3857" s="9"/>
      <c r="R3857" s="3"/>
      <c r="S3857" s="40"/>
      <c r="T3857" s="4"/>
    </row>
    <row r="3858" spans="1:20" s="39" customFormat="1" ht="11.25" customHeight="1" thickBot="1" x14ac:dyDescent="0.3">
      <c r="A3858" s="3" t="s">
        <v>17</v>
      </c>
      <c r="B3858" s="3"/>
      <c r="C3858" s="36">
        <f>C3758+C3779-C3835</f>
        <v>15687065.510000002</v>
      </c>
      <c r="D3858" s="9"/>
      <c r="E3858" s="36">
        <f>E3758+E3779-E3835</f>
        <v>8016671.8400000017</v>
      </c>
      <c r="F3858" s="9"/>
      <c r="G3858" s="36">
        <f>G3758+G3779-G3835</f>
        <v>3899803.6400000006</v>
      </c>
      <c r="H3858" s="9"/>
      <c r="I3858" s="36">
        <f>I3758+I3779-I3835</f>
        <v>3399803.6400000006</v>
      </c>
      <c r="J3858" s="9"/>
      <c r="K3858" s="36">
        <f>K3758+K3779-K3835</f>
        <v>235797.6400000006</v>
      </c>
      <c r="L3858" s="9"/>
      <c r="M3858" s="36">
        <f>M3758+M3779-M3835</f>
        <v>235797.6400000006</v>
      </c>
      <c r="N3858" s="9"/>
      <c r="O3858" s="9"/>
      <c r="P3858" s="9"/>
      <c r="Q3858" s="36">
        <f>Q3758+Q3779-Q3835</f>
        <v>235797.6400000006</v>
      </c>
      <c r="R3858" s="3"/>
      <c r="S3858" s="40"/>
      <c r="T3858" s="11"/>
    </row>
    <row r="3859" spans="1:20" s="39" customFormat="1" ht="11.25" customHeight="1" thickTop="1" x14ac:dyDescent="0.25">
      <c r="A3859" s="3"/>
      <c r="B3859" s="3"/>
      <c r="C3859" s="2"/>
      <c r="D3859" s="2"/>
      <c r="E3859" s="2"/>
      <c r="F3859" s="2"/>
      <c r="G3859" s="2"/>
      <c r="H3859" s="2"/>
      <c r="I3859" s="2"/>
      <c r="J3859" s="2"/>
      <c r="K3859" s="2"/>
      <c r="L3859" s="9"/>
      <c r="M3859" s="2"/>
      <c r="N3859" s="9"/>
      <c r="O3859" s="2"/>
      <c r="P3859" s="9"/>
      <c r="Q3859" s="2"/>
      <c r="R3859" s="3"/>
      <c r="S3859" s="40"/>
      <c r="T3859" s="4"/>
    </row>
    <row r="3860" spans="1:20" s="39" customFormat="1" ht="11.25" customHeight="1" x14ac:dyDescent="0.25">
      <c r="C3860" s="40"/>
      <c r="D3860" s="40"/>
      <c r="E3860" s="40"/>
      <c r="F3860" s="40"/>
      <c r="G3860" s="40"/>
      <c r="H3860" s="40"/>
      <c r="I3860" s="40"/>
      <c r="J3860" s="40"/>
      <c r="K3860" s="40"/>
      <c r="M3860" s="40"/>
      <c r="O3860" s="40"/>
      <c r="Q3860" s="40"/>
      <c r="S3860" s="40"/>
      <c r="T3860" s="4"/>
    </row>
    <row r="3861" spans="1:20" s="39" customFormat="1" ht="11.25" customHeight="1" x14ac:dyDescent="0.25">
      <c r="C3861" s="40"/>
      <c r="D3861" s="40"/>
      <c r="E3861" s="40"/>
      <c r="F3861" s="40"/>
      <c r="G3861" s="40"/>
      <c r="H3861" s="40"/>
      <c r="I3861" s="40"/>
      <c r="J3861" s="40"/>
      <c r="K3861" s="40"/>
      <c r="M3861" s="40"/>
      <c r="O3861" s="40"/>
      <c r="Q3861" s="40"/>
      <c r="S3861" s="40"/>
      <c r="T3861" s="4"/>
    </row>
    <row r="3862" spans="1:20" s="39" customFormat="1" ht="11.25" customHeight="1" x14ac:dyDescent="0.25">
      <c r="C3862" s="40"/>
      <c r="D3862" s="40"/>
      <c r="E3862" s="40"/>
      <c r="F3862" s="40"/>
      <c r="G3862" s="40"/>
      <c r="H3862" s="40"/>
      <c r="I3862" s="40"/>
      <c r="J3862" s="40"/>
      <c r="K3862" s="40"/>
      <c r="M3862" s="40"/>
      <c r="O3862" s="40"/>
      <c r="Q3862" s="40"/>
      <c r="S3862" s="40"/>
      <c r="T3862" s="4"/>
    </row>
    <row r="3863" spans="1:20" s="39" customFormat="1" ht="11.25" customHeight="1" x14ac:dyDescent="0.25">
      <c r="C3863" s="40"/>
      <c r="D3863" s="40"/>
      <c r="E3863" s="40"/>
      <c r="F3863" s="40"/>
      <c r="G3863" s="40"/>
      <c r="H3863" s="40"/>
      <c r="I3863" s="40"/>
      <c r="J3863" s="40"/>
      <c r="K3863" s="40"/>
      <c r="M3863" s="40"/>
      <c r="O3863" s="40"/>
      <c r="Q3863" s="40"/>
      <c r="S3863" s="40"/>
      <c r="T3863" s="4"/>
    </row>
    <row r="3864" spans="1:20" s="39" customFormat="1" ht="11.25" customHeight="1" x14ac:dyDescent="0.25">
      <c r="C3864" s="40"/>
      <c r="D3864" s="40"/>
      <c r="E3864" s="40"/>
      <c r="F3864" s="40"/>
      <c r="G3864" s="40"/>
      <c r="H3864" s="40"/>
      <c r="I3864" s="40"/>
      <c r="J3864" s="40"/>
      <c r="K3864" s="40"/>
      <c r="M3864" s="40"/>
      <c r="O3864" s="40"/>
      <c r="Q3864" s="40"/>
      <c r="S3864" s="40"/>
      <c r="T3864" s="4"/>
    </row>
    <row r="3865" spans="1:20" s="39" customFormat="1" ht="11.25" customHeight="1" x14ac:dyDescent="0.25">
      <c r="C3865" s="40"/>
      <c r="D3865" s="40"/>
      <c r="E3865" s="40"/>
      <c r="F3865" s="40"/>
      <c r="G3865" s="40"/>
      <c r="H3865" s="40"/>
      <c r="I3865" s="40"/>
      <c r="J3865" s="40"/>
      <c r="K3865" s="40"/>
      <c r="M3865" s="40"/>
      <c r="O3865" s="40"/>
      <c r="Q3865" s="40"/>
      <c r="S3865" s="40"/>
      <c r="T3865" s="4"/>
    </row>
    <row r="3866" spans="1:20" s="39" customFormat="1" ht="11.25" customHeight="1" x14ac:dyDescent="0.25">
      <c r="C3866" s="40"/>
      <c r="D3866" s="40"/>
      <c r="E3866" s="40"/>
      <c r="F3866" s="40"/>
      <c r="G3866" s="40"/>
      <c r="H3866" s="40"/>
      <c r="I3866" s="40"/>
      <c r="J3866" s="40"/>
      <c r="K3866" s="40"/>
      <c r="M3866" s="40"/>
      <c r="O3866" s="40"/>
      <c r="Q3866" s="40"/>
      <c r="S3866" s="40"/>
      <c r="T3866" s="4"/>
    </row>
    <row r="3867" spans="1:20" s="39" customFormat="1" ht="11.25" customHeight="1" x14ac:dyDescent="0.25">
      <c r="C3867" s="40"/>
      <c r="D3867" s="40"/>
      <c r="E3867" s="40"/>
      <c r="F3867" s="40"/>
      <c r="G3867" s="40"/>
      <c r="H3867" s="40"/>
      <c r="I3867" s="40"/>
      <c r="J3867" s="40"/>
      <c r="K3867" s="40"/>
      <c r="M3867" s="40"/>
      <c r="O3867" s="40"/>
      <c r="Q3867" s="40"/>
      <c r="S3867" s="40"/>
      <c r="T3867" s="4"/>
    </row>
    <row r="3868" spans="1:20" s="39" customFormat="1" ht="11.25" customHeight="1" x14ac:dyDescent="0.25">
      <c r="C3868" s="40"/>
      <c r="D3868" s="40"/>
      <c r="E3868" s="40"/>
      <c r="F3868" s="40"/>
      <c r="G3868" s="40"/>
      <c r="H3868" s="40"/>
      <c r="I3868" s="40"/>
      <c r="J3868" s="40"/>
      <c r="K3868" s="40"/>
      <c r="M3868" s="40"/>
      <c r="O3868" s="40"/>
      <c r="Q3868" s="40"/>
      <c r="S3868" s="40"/>
      <c r="T3868" s="4"/>
    </row>
    <row r="3869" spans="1:20" s="39" customFormat="1" ht="11.25" customHeight="1" x14ac:dyDescent="0.25">
      <c r="C3869" s="40"/>
      <c r="D3869" s="40"/>
      <c r="E3869" s="40"/>
      <c r="F3869" s="40"/>
      <c r="G3869" s="40"/>
      <c r="H3869" s="40"/>
      <c r="I3869" s="40"/>
      <c r="J3869" s="40"/>
      <c r="K3869" s="40"/>
      <c r="M3869" s="40"/>
      <c r="O3869" s="40"/>
      <c r="Q3869" s="40"/>
      <c r="S3869" s="40"/>
      <c r="T3869" s="4"/>
    </row>
    <row r="3870" spans="1:20" s="39" customFormat="1" ht="11.25" customHeight="1" x14ac:dyDescent="0.25">
      <c r="C3870" s="40"/>
      <c r="D3870" s="40"/>
      <c r="E3870" s="40"/>
      <c r="F3870" s="40"/>
      <c r="G3870" s="40"/>
      <c r="H3870" s="40"/>
      <c r="I3870" s="40"/>
      <c r="J3870" s="40"/>
      <c r="K3870" s="40"/>
      <c r="M3870" s="40"/>
      <c r="O3870" s="40"/>
      <c r="Q3870" s="40"/>
      <c r="S3870" s="40"/>
      <c r="T3870" s="4"/>
    </row>
    <row r="3871" spans="1:20" ht="11.25" customHeight="1" x14ac:dyDescent="0.2"/>
    <row r="3872" spans="1:20" ht="11.25" customHeight="1" x14ac:dyDescent="0.2"/>
    <row r="3873" spans="1:17" ht="11.25" customHeight="1" x14ac:dyDescent="0.2"/>
    <row r="3874" spans="1:17" ht="11.25" customHeight="1" x14ac:dyDescent="0.2"/>
    <row r="3875" spans="1:17" ht="11.25" customHeight="1" x14ac:dyDescent="0.2"/>
    <row r="3876" spans="1:17" ht="11.25" customHeight="1" x14ac:dyDescent="0.2"/>
    <row r="3877" spans="1:17" ht="11.25" customHeight="1" x14ac:dyDescent="0.2"/>
    <row r="3878" spans="1:17" ht="11.25" customHeight="1" x14ac:dyDescent="0.2"/>
    <row r="3879" spans="1:17" ht="11.25" customHeight="1" x14ac:dyDescent="0.2">
      <c r="A3879" s="1"/>
      <c r="B3879" s="1"/>
      <c r="E3879" s="2" t="str">
        <f>$E$1</f>
        <v>CITY OF BRADY</v>
      </c>
    </row>
    <row r="3880" spans="1:17" ht="11.25" customHeight="1" x14ac:dyDescent="0.2">
      <c r="E3880" s="2" t="str">
        <f>$E$2</f>
        <v>BUDGET REPORT</v>
      </c>
    </row>
    <row r="3881" spans="1:17" ht="11.25" customHeight="1" x14ac:dyDescent="0.2">
      <c r="E3881" s="2" t="str">
        <f>$E$3</f>
        <v>FISCAL YEAR 2024 - 2025</v>
      </c>
    </row>
    <row r="3882" spans="1:17" ht="11.25" customHeight="1" x14ac:dyDescent="0.2">
      <c r="A3882" s="3" t="s">
        <v>1593</v>
      </c>
    </row>
    <row r="3883" spans="1:17" ht="11.25" customHeight="1" x14ac:dyDescent="0.2"/>
    <row r="3884" spans="1:17" ht="11.25" customHeight="1" x14ac:dyDescent="0.2">
      <c r="I3884" s="53" t="str">
        <f>$I$6</f>
        <v>(----- 2023-2024------)</v>
      </c>
      <c r="J3884" s="53"/>
      <c r="K3884" s="53"/>
      <c r="L3884" s="6"/>
      <c r="M3884" s="54" t="str">
        <f>$M$6</f>
        <v>2024-2025</v>
      </c>
      <c r="N3884" s="54"/>
      <c r="O3884" s="54"/>
      <c r="P3884" s="54"/>
      <c r="Q3884" s="54"/>
    </row>
    <row r="3885" spans="1:17" ht="11.25" customHeight="1" x14ac:dyDescent="0.2">
      <c r="C3885" s="5" t="str">
        <f>$C$7</f>
        <v>2020-2021</v>
      </c>
      <c r="D3885" s="5"/>
      <c r="E3885" s="5" t="str">
        <f>$E$7</f>
        <v>2021-2022</v>
      </c>
      <c r="F3885" s="5"/>
      <c r="G3885" s="5" t="str">
        <f>$G$7</f>
        <v>2022-2023</v>
      </c>
      <c r="H3885" s="5"/>
      <c r="I3885" s="5" t="s">
        <v>9</v>
      </c>
      <c r="J3885" s="5"/>
      <c r="K3885" s="5" t="str">
        <f>+$K$7</f>
        <v>PROJECTED</v>
      </c>
      <c r="L3885" s="6"/>
      <c r="M3885" s="5">
        <f>$M$7</f>
        <v>0</v>
      </c>
      <c r="N3885" s="6"/>
      <c r="O3885" s="5" t="str">
        <f>$O$7</f>
        <v>2024-2025</v>
      </c>
      <c r="P3885" s="6"/>
      <c r="Q3885" s="5" t="str">
        <f>$Q$7</f>
        <v>APPROVED</v>
      </c>
    </row>
    <row r="3886" spans="1:17" ht="11.25" customHeight="1" x14ac:dyDescent="0.2">
      <c r="A3886" s="7"/>
      <c r="C3886" s="8" t="s">
        <v>12</v>
      </c>
      <c r="D3886" s="5"/>
      <c r="E3886" s="8" t="s">
        <v>12</v>
      </c>
      <c r="F3886" s="5"/>
      <c r="G3886" s="8" t="s">
        <v>12</v>
      </c>
      <c r="H3886" s="5"/>
      <c r="I3886" s="8" t="s">
        <v>13</v>
      </c>
      <c r="J3886" s="5"/>
      <c r="K3886" s="8" t="s">
        <v>13</v>
      </c>
      <c r="L3886" s="6"/>
      <c r="M3886" s="8" t="str">
        <f>$M$8</f>
        <v>BASE</v>
      </c>
      <c r="N3886" s="6"/>
      <c r="O3886" s="8" t="str">
        <f>$O$8</f>
        <v>SUPPLEMENTAL</v>
      </c>
      <c r="P3886" s="6"/>
      <c r="Q3886" s="8" t="str">
        <f>$Q$8</f>
        <v>BUDGET</v>
      </c>
    </row>
    <row r="3887" spans="1:17" ht="11.25" customHeight="1" x14ac:dyDescent="0.2"/>
    <row r="3888" spans="1:17" ht="11.25" customHeight="1" x14ac:dyDescent="0.2">
      <c r="A3888" s="3" t="s">
        <v>16</v>
      </c>
      <c r="L3888" s="9"/>
      <c r="N3888" s="9"/>
      <c r="P3888" s="9"/>
    </row>
    <row r="3889" spans="1:17" ht="11.25" customHeight="1" x14ac:dyDescent="0.2">
      <c r="A3889" s="3" t="s">
        <v>17</v>
      </c>
      <c r="C3889" s="2">
        <v>14514670.01</v>
      </c>
      <c r="E3889" s="2">
        <f>+C3976</f>
        <v>15957448.719999999</v>
      </c>
      <c r="G3889" s="2">
        <f>+E3976</f>
        <v>8804055.0799999982</v>
      </c>
      <c r="I3889" s="2">
        <f>+G3976</f>
        <v>3706517.3699999964</v>
      </c>
      <c r="K3889" s="2">
        <f>+I3889</f>
        <v>3706517.3699999964</v>
      </c>
      <c r="L3889" s="9"/>
      <c r="M3889" s="9">
        <f>+K3976</f>
        <v>229478.36999999639</v>
      </c>
      <c r="N3889" s="9"/>
      <c r="P3889" s="9"/>
      <c r="Q3889" s="2">
        <f>+M3889</f>
        <v>229478.36999999639</v>
      </c>
    </row>
    <row r="3890" spans="1:17" ht="11.25" customHeight="1" x14ac:dyDescent="0.2">
      <c r="L3890" s="9"/>
      <c r="N3890" s="9"/>
      <c r="P3890" s="9"/>
    </row>
    <row r="3891" spans="1:17" ht="11.25" customHeight="1" x14ac:dyDescent="0.2">
      <c r="A3891" s="10" t="s">
        <v>18</v>
      </c>
      <c r="L3891" s="9"/>
      <c r="N3891" s="9"/>
      <c r="P3891" s="9"/>
    </row>
    <row r="3892" spans="1:17" ht="11.25" customHeight="1" x14ac:dyDescent="0.2">
      <c r="L3892" s="9"/>
      <c r="N3892" s="9"/>
      <c r="P3892" s="9"/>
    </row>
    <row r="3893" spans="1:17" ht="11.25" customHeight="1" x14ac:dyDescent="0.2">
      <c r="A3893" s="10" t="s">
        <v>1127</v>
      </c>
      <c r="L3893" s="9"/>
      <c r="N3893" s="9"/>
      <c r="P3893" s="9"/>
    </row>
    <row r="3894" spans="1:17" ht="11.25" customHeight="1" x14ac:dyDescent="0.2">
      <c r="A3894" s="3" t="s">
        <v>1594</v>
      </c>
      <c r="C3894" s="2">
        <v>1597.86</v>
      </c>
      <c r="E3894" s="2">
        <v>31237.05</v>
      </c>
      <c r="G3894" s="2">
        <v>163687.65</v>
      </c>
      <c r="I3894" s="2">
        <v>0</v>
      </c>
      <c r="K3894" s="2">
        <v>0</v>
      </c>
      <c r="L3894" s="9"/>
      <c r="M3894" s="2">
        <v>0</v>
      </c>
      <c r="N3894" s="9"/>
      <c r="O3894" s="2">
        <v>0</v>
      </c>
      <c r="P3894" s="9"/>
      <c r="Q3894" s="2">
        <f>+M3894+O3894</f>
        <v>0</v>
      </c>
    </row>
    <row r="3895" spans="1:17" ht="11.25" customHeight="1" x14ac:dyDescent="0.2">
      <c r="A3895" s="3" t="s">
        <v>1595</v>
      </c>
      <c r="C3895" s="2">
        <v>368.61</v>
      </c>
      <c r="E3895" s="2">
        <v>3907.08</v>
      </c>
      <c r="G3895" s="2">
        <v>9314.8799999999992</v>
      </c>
      <c r="I3895" s="2">
        <v>0</v>
      </c>
      <c r="K3895" s="2">
        <v>0</v>
      </c>
      <c r="L3895" s="9"/>
      <c r="M3895" s="2">
        <v>0</v>
      </c>
      <c r="N3895" s="9"/>
      <c r="O3895" s="2">
        <v>0</v>
      </c>
      <c r="P3895" s="9"/>
      <c r="Q3895" s="2">
        <f>+M3895+O3895</f>
        <v>0</v>
      </c>
    </row>
    <row r="3896" spans="1:17" ht="11.25" customHeight="1" x14ac:dyDescent="0.2">
      <c r="A3896" s="3" t="s">
        <v>1596</v>
      </c>
      <c r="C3896" s="2">
        <v>813.38</v>
      </c>
      <c r="E3896" s="2">
        <v>5039.78</v>
      </c>
      <c r="G3896" s="2">
        <v>20678.73</v>
      </c>
      <c r="I3896" s="2">
        <v>0</v>
      </c>
      <c r="K3896" s="2">
        <v>0</v>
      </c>
      <c r="L3896" s="9"/>
      <c r="M3896" s="2">
        <v>0</v>
      </c>
      <c r="N3896" s="9"/>
      <c r="O3896" s="2">
        <v>0</v>
      </c>
      <c r="P3896" s="9"/>
      <c r="Q3896" s="2">
        <f>+M3896+O3896</f>
        <v>0</v>
      </c>
    </row>
    <row r="3897" spans="1:17" ht="11.25" customHeight="1" x14ac:dyDescent="0.2">
      <c r="A3897" s="3" t="s">
        <v>1597</v>
      </c>
      <c r="C3897" s="12">
        <v>1905065.2</v>
      </c>
      <c r="E3897" s="12">
        <v>6545.9</v>
      </c>
      <c r="G3897" s="12">
        <v>1386.1</v>
      </c>
      <c r="I3897" s="12">
        <v>0</v>
      </c>
      <c r="K3897" s="12">
        <v>0</v>
      </c>
      <c r="L3897" s="9"/>
      <c r="M3897" s="12">
        <v>0</v>
      </c>
      <c r="N3897" s="9"/>
      <c r="O3897" s="12">
        <v>0</v>
      </c>
      <c r="P3897" s="9"/>
      <c r="Q3897" s="12">
        <f>+M3897+O3897</f>
        <v>0</v>
      </c>
    </row>
    <row r="3898" spans="1:17" ht="11.25" customHeight="1" x14ac:dyDescent="0.2">
      <c r="A3898" s="3" t="s">
        <v>1130</v>
      </c>
      <c r="C3898" s="2">
        <f>SUM(C3894:C3897)</f>
        <v>1907845.05</v>
      </c>
      <c r="E3898" s="2">
        <f>SUM(E3894:E3897)</f>
        <v>46729.81</v>
      </c>
      <c r="G3898" s="2">
        <f>SUM(G3894:G3897)</f>
        <v>195067.36000000002</v>
      </c>
      <c r="I3898" s="2">
        <f>SUM(I3894:I3897)</f>
        <v>0</v>
      </c>
      <c r="K3898" s="2">
        <f>SUM(K3894:K3897)</f>
        <v>0</v>
      </c>
      <c r="L3898" s="9"/>
      <c r="M3898" s="2">
        <f>SUM(M3894:M3897)</f>
        <v>0</v>
      </c>
      <c r="N3898" s="9"/>
      <c r="O3898" s="2">
        <f>SUM(O3894:O3897)</f>
        <v>0</v>
      </c>
      <c r="P3898" s="9"/>
      <c r="Q3898" s="2">
        <f>SUM(Q3894:Q3897)</f>
        <v>0</v>
      </c>
    </row>
    <row r="3899" spans="1:17" ht="11.25" customHeight="1" x14ac:dyDescent="0.2">
      <c r="L3899" s="9"/>
      <c r="N3899" s="9"/>
      <c r="P3899" s="9"/>
    </row>
    <row r="3900" spans="1:17" ht="11.85" customHeight="1" x14ac:dyDescent="0.2">
      <c r="A3900" s="10" t="s">
        <v>244</v>
      </c>
      <c r="L3900" s="9"/>
      <c r="N3900" s="9"/>
      <c r="P3900" s="9"/>
    </row>
    <row r="3901" spans="1:17" ht="11.85" customHeight="1" x14ac:dyDescent="0.2">
      <c r="A3901" s="3" t="s">
        <v>1598</v>
      </c>
      <c r="C3901" s="12">
        <v>260754.5</v>
      </c>
      <c r="E3901" s="12">
        <v>265878.74</v>
      </c>
      <c r="G3901" s="12">
        <v>330859</v>
      </c>
      <c r="I3901" s="12">
        <v>335860</v>
      </c>
      <c r="K3901" s="12">
        <v>335860</v>
      </c>
      <c r="L3901" s="9"/>
      <c r="M3901" s="12">
        <v>465860</v>
      </c>
      <c r="N3901" s="9"/>
      <c r="O3901" s="12">
        <v>0</v>
      </c>
      <c r="P3901" s="9"/>
      <c r="Q3901" s="12">
        <f>+M3901+O3901</f>
        <v>465860</v>
      </c>
    </row>
    <row r="3902" spans="1:17" ht="11.85" customHeight="1" x14ac:dyDescent="0.2">
      <c r="A3902" s="3" t="s">
        <v>258</v>
      </c>
      <c r="C3902" s="2">
        <f>SUM(C3901:C3901)</f>
        <v>260754.5</v>
      </c>
      <c r="E3902" s="2">
        <f>SUM(E3901:E3901)</f>
        <v>265878.74</v>
      </c>
      <c r="G3902" s="2">
        <f>SUM(G3901:G3901)</f>
        <v>330859</v>
      </c>
      <c r="I3902" s="2">
        <f>SUM(I3901:I3901)</f>
        <v>335860</v>
      </c>
      <c r="K3902" s="2">
        <f>SUM(K3901:K3901)</f>
        <v>335860</v>
      </c>
      <c r="L3902" s="9"/>
      <c r="M3902" s="2">
        <f>SUM(M3901:M3901)</f>
        <v>465860</v>
      </c>
      <c r="N3902" s="9"/>
      <c r="O3902" s="2">
        <f>SUM(O3901:O3901)</f>
        <v>0</v>
      </c>
      <c r="P3902" s="9"/>
      <c r="Q3902" s="2">
        <f>SUM(Q3901:Q3901)</f>
        <v>465860</v>
      </c>
    </row>
    <row r="3903" spans="1:17" ht="11.85" customHeight="1" x14ac:dyDescent="0.2">
      <c r="L3903" s="9"/>
      <c r="N3903" s="9"/>
      <c r="P3903" s="9"/>
    </row>
    <row r="3904" spans="1:17" ht="11.85" customHeight="1" x14ac:dyDescent="0.2"/>
    <row r="3905" spans="1:17" ht="11.25" customHeight="1" thickBot="1" x14ac:dyDescent="0.25">
      <c r="A3905" s="3" t="s">
        <v>270</v>
      </c>
      <c r="C3905" s="25">
        <f>C3898+C3902</f>
        <v>2168599.5499999998</v>
      </c>
      <c r="E3905" s="25">
        <f>E3898+E3902</f>
        <v>312608.55</v>
      </c>
      <c r="G3905" s="25">
        <f>G3898+G3902</f>
        <v>525926.36</v>
      </c>
      <c r="I3905" s="25">
        <f>I3898+I3902</f>
        <v>335860</v>
      </c>
      <c r="K3905" s="25">
        <f>K3898+K3902</f>
        <v>335860</v>
      </c>
      <c r="L3905" s="9"/>
      <c r="M3905" s="25">
        <f>M3898+M3902</f>
        <v>465860</v>
      </c>
      <c r="N3905" s="9"/>
      <c r="O3905" s="25">
        <f>O3898+O3902</f>
        <v>0</v>
      </c>
      <c r="P3905" s="9"/>
      <c r="Q3905" s="25">
        <f>Q3898+Q3902</f>
        <v>465860</v>
      </c>
    </row>
    <row r="3906" spans="1:17" ht="11.25" customHeight="1" thickTop="1" x14ac:dyDescent="0.2">
      <c r="L3906" s="9"/>
      <c r="N3906" s="9"/>
      <c r="P3906" s="9"/>
    </row>
    <row r="3907" spans="1:17" ht="11.25" customHeight="1" x14ac:dyDescent="0.2">
      <c r="L3907" s="9"/>
      <c r="N3907" s="9"/>
      <c r="P3907" s="9"/>
    </row>
    <row r="3908" spans="1:17" ht="11.25" customHeight="1" x14ac:dyDescent="0.2">
      <c r="A3908" s="3" t="s">
        <v>271</v>
      </c>
      <c r="C3908" s="2">
        <f>C3889+C3905</f>
        <v>16683269.559999999</v>
      </c>
      <c r="E3908" s="2">
        <f>E3889+E3905</f>
        <v>16270057.27</v>
      </c>
      <c r="G3908" s="2">
        <f>G3889+G3905</f>
        <v>9329981.4399999976</v>
      </c>
      <c r="I3908" s="2">
        <f>I3889+I3905</f>
        <v>4042377.3699999964</v>
      </c>
      <c r="K3908" s="2">
        <f>K3889+K3905</f>
        <v>4042377.3699999964</v>
      </c>
      <c r="L3908" s="9"/>
      <c r="M3908" s="2">
        <f>M3889+M3905</f>
        <v>695338.36999999639</v>
      </c>
      <c r="N3908" s="9"/>
      <c r="P3908" s="9"/>
      <c r="Q3908" s="2">
        <f>Q3889+Q3905</f>
        <v>695338.36999999639</v>
      </c>
    </row>
    <row r="3909" spans="1:17" ht="11.25" customHeight="1" x14ac:dyDescent="0.2"/>
    <row r="3910" spans="1:17" ht="11.85" customHeight="1" x14ac:dyDescent="0.2"/>
    <row r="3911" spans="1:17" ht="11.85" customHeight="1" x14ac:dyDescent="0.2"/>
    <row r="3912" spans="1:17" ht="11.85" customHeight="1" x14ac:dyDescent="0.2"/>
    <row r="3913" spans="1:17" ht="11.85" customHeight="1" x14ac:dyDescent="0.2"/>
    <row r="3914" spans="1:17" ht="11.85" customHeight="1" x14ac:dyDescent="0.2"/>
    <row r="3915" spans="1:17" ht="11.85" customHeight="1" x14ac:dyDescent="0.2"/>
    <row r="3916" spans="1:17" ht="11.85" customHeight="1" x14ac:dyDescent="0.2"/>
    <row r="3917" spans="1:17" ht="11.85" customHeight="1" x14ac:dyDescent="0.2"/>
    <row r="3918" spans="1:17" ht="11.85" customHeight="1" x14ac:dyDescent="0.2"/>
    <row r="3919" spans="1:17" ht="11.85" customHeight="1" x14ac:dyDescent="0.2"/>
    <row r="3920" spans="1:17" ht="11.85" customHeight="1" x14ac:dyDescent="0.2"/>
    <row r="3921" spans="1:17" ht="11.85" customHeight="1" x14ac:dyDescent="0.2"/>
    <row r="3922" spans="1:17" ht="11.85" customHeight="1" x14ac:dyDescent="0.2"/>
    <row r="3923" spans="1:17" ht="11.85" customHeight="1" x14ac:dyDescent="0.2"/>
    <row r="3924" spans="1:17" ht="11.85" customHeight="1" x14ac:dyDescent="0.2"/>
    <row r="3925" spans="1:17" ht="11.85" customHeight="1" x14ac:dyDescent="0.2"/>
    <row r="3926" spans="1:17" ht="11.85" customHeight="1" x14ac:dyDescent="0.2">
      <c r="A3926" s="1"/>
      <c r="B3926" s="1"/>
      <c r="E3926" s="2" t="str">
        <f>$E$1</f>
        <v>CITY OF BRADY</v>
      </c>
    </row>
    <row r="3927" spans="1:17" ht="11.85" customHeight="1" x14ac:dyDescent="0.2">
      <c r="E3927" s="2" t="str">
        <f>$E$2</f>
        <v>BUDGET REPORT</v>
      </c>
    </row>
    <row r="3928" spans="1:17" ht="11.85" customHeight="1" x14ac:dyDescent="0.2">
      <c r="E3928" s="2" t="str">
        <f>$E$3</f>
        <v>FISCAL YEAR 2024 - 2025</v>
      </c>
    </row>
    <row r="3929" spans="1:17" ht="11.85" customHeight="1" x14ac:dyDescent="0.2">
      <c r="A3929" s="3" t="s">
        <v>1593</v>
      </c>
    </row>
    <row r="3930" spans="1:17" ht="11.85" customHeight="1" x14ac:dyDescent="0.2">
      <c r="A3930" s="3" t="s">
        <v>1599</v>
      </c>
    </row>
    <row r="3931" spans="1:17" ht="11.85" customHeight="1" x14ac:dyDescent="0.2">
      <c r="I3931" s="53" t="str">
        <f>$I$6</f>
        <v>(----- 2023-2024------)</v>
      </c>
      <c r="J3931" s="53"/>
      <c r="K3931" s="53"/>
      <c r="L3931" s="6"/>
      <c r="M3931" s="54" t="str">
        <f>$M$6</f>
        <v>2024-2025</v>
      </c>
      <c r="N3931" s="54"/>
      <c r="O3931" s="54"/>
      <c r="P3931" s="54"/>
      <c r="Q3931" s="54"/>
    </row>
    <row r="3932" spans="1:17" ht="11.85" customHeight="1" x14ac:dyDescent="0.2">
      <c r="C3932" s="5" t="str">
        <f>$C$7</f>
        <v>2020-2021</v>
      </c>
      <c r="D3932" s="5"/>
      <c r="E3932" s="5" t="str">
        <f>$E$7</f>
        <v>2021-2022</v>
      </c>
      <c r="F3932" s="5"/>
      <c r="G3932" s="5" t="str">
        <f>$G$7</f>
        <v>2022-2023</v>
      </c>
      <c r="H3932" s="5"/>
      <c r="I3932" s="5" t="s">
        <v>9</v>
      </c>
      <c r="J3932" s="5"/>
      <c r="K3932" s="5" t="str">
        <f>+$K$7</f>
        <v>PROJECTED</v>
      </c>
      <c r="L3932" s="6"/>
      <c r="M3932" s="5">
        <f>$M$7</f>
        <v>0</v>
      </c>
      <c r="N3932" s="6"/>
      <c r="O3932" s="5" t="str">
        <f>$O$7</f>
        <v>2024-2025</v>
      </c>
      <c r="P3932" s="6"/>
      <c r="Q3932" s="5" t="str">
        <f>$Q$7</f>
        <v>APPROVED</v>
      </c>
    </row>
    <row r="3933" spans="1:17" ht="11.85" customHeight="1" x14ac:dyDescent="0.2">
      <c r="A3933" s="7" t="s">
        <v>273</v>
      </c>
      <c r="C3933" s="8" t="s">
        <v>12</v>
      </c>
      <c r="D3933" s="5"/>
      <c r="E3933" s="8" t="s">
        <v>12</v>
      </c>
      <c r="F3933" s="5"/>
      <c r="G3933" s="8" t="s">
        <v>12</v>
      </c>
      <c r="H3933" s="5"/>
      <c r="I3933" s="8" t="s">
        <v>13</v>
      </c>
      <c r="J3933" s="5"/>
      <c r="K3933" s="8" t="s">
        <v>13</v>
      </c>
      <c r="L3933" s="6"/>
      <c r="M3933" s="8" t="str">
        <f>$M$8</f>
        <v>BASE</v>
      </c>
      <c r="N3933" s="6"/>
      <c r="O3933" s="8" t="str">
        <f>$O$8</f>
        <v>SUPPLEMENTAL</v>
      </c>
      <c r="P3933" s="6"/>
      <c r="Q3933" s="8" t="str">
        <f>$Q$8</f>
        <v>BUDGET</v>
      </c>
    </row>
    <row r="3934" spans="1:17" ht="11.85" customHeight="1" x14ac:dyDescent="0.2"/>
    <row r="3935" spans="1:17" ht="11.85" customHeight="1" x14ac:dyDescent="0.2">
      <c r="A3935" s="10" t="s">
        <v>286</v>
      </c>
      <c r="L3935" s="9"/>
      <c r="N3935" s="9"/>
      <c r="P3935" s="9"/>
    </row>
    <row r="3936" spans="1:17" ht="11.85" customHeight="1" x14ac:dyDescent="0.2">
      <c r="A3936" s="3" t="s">
        <v>1600</v>
      </c>
      <c r="C3936" s="2">
        <v>0</v>
      </c>
      <c r="E3936" s="2">
        <v>614524.24</v>
      </c>
      <c r="G3936" s="2">
        <v>4775193.2300000004</v>
      </c>
      <c r="I3936" s="2">
        <v>2000000</v>
      </c>
      <c r="K3936" s="2">
        <f>3164797-298986</f>
        <v>2865811</v>
      </c>
      <c r="L3936" s="9"/>
      <c r="M3936" s="2">
        <v>0</v>
      </c>
      <c r="N3936" s="9"/>
      <c r="O3936" s="2">
        <v>0</v>
      </c>
      <c r="P3936" s="9"/>
      <c r="Q3936" s="2">
        <f t="shared" ref="Q3936:Q3942" si="110">+M3936+O3936</f>
        <v>0</v>
      </c>
    </row>
    <row r="3937" spans="1:22" ht="11.85" customHeight="1" x14ac:dyDescent="0.2">
      <c r="A3937" s="3" t="s">
        <v>1601</v>
      </c>
      <c r="C3937" s="2">
        <v>0</v>
      </c>
      <c r="E3937" s="2">
        <v>1535297</v>
      </c>
      <c r="G3937" s="2">
        <v>0</v>
      </c>
      <c r="I3937" s="2">
        <v>0</v>
      </c>
      <c r="K3937" s="2">
        <v>369125</v>
      </c>
      <c r="L3937" s="9"/>
      <c r="M3937" s="2">
        <v>0</v>
      </c>
      <c r="N3937" s="9"/>
      <c r="O3937" s="2">
        <v>0</v>
      </c>
      <c r="P3937" s="9"/>
      <c r="Q3937" s="2">
        <f t="shared" si="110"/>
        <v>0</v>
      </c>
    </row>
    <row r="3938" spans="1:22" ht="11.85" customHeight="1" x14ac:dyDescent="0.2">
      <c r="A3938" s="3" t="s">
        <v>1602</v>
      </c>
      <c r="C3938" s="2">
        <v>394142.34</v>
      </c>
      <c r="E3938" s="2">
        <v>3208926.93</v>
      </c>
      <c r="G3938" s="2">
        <v>370536.69</v>
      </c>
      <c r="I3938" s="2">
        <v>0</v>
      </c>
      <c r="K3938" s="2">
        <f>259039-19644</f>
        <v>239395</v>
      </c>
      <c r="L3938" s="9"/>
      <c r="M3938" s="2">
        <v>0</v>
      </c>
      <c r="N3938" s="9"/>
      <c r="O3938" s="2">
        <v>0</v>
      </c>
      <c r="P3938" s="9"/>
      <c r="Q3938" s="2">
        <f t="shared" si="110"/>
        <v>0</v>
      </c>
    </row>
    <row r="3939" spans="1:22" ht="11.85" customHeight="1" x14ac:dyDescent="0.2">
      <c r="A3939" s="3" t="s">
        <v>1603</v>
      </c>
      <c r="C3939" s="2">
        <v>70924</v>
      </c>
      <c r="E3939" s="2">
        <v>1831368</v>
      </c>
      <c r="G3939" s="2">
        <v>0</v>
      </c>
      <c r="I3939" s="2">
        <v>0</v>
      </c>
      <c r="K3939" s="2">
        <v>2708</v>
      </c>
      <c r="L3939" s="9"/>
      <c r="M3939" s="2">
        <v>0</v>
      </c>
      <c r="N3939" s="9"/>
      <c r="O3939" s="2">
        <v>0</v>
      </c>
      <c r="P3939" s="9"/>
      <c r="Q3939" s="2">
        <f t="shared" si="110"/>
        <v>0</v>
      </c>
    </row>
    <row r="3940" spans="1:22" ht="11.85" customHeight="1" x14ac:dyDescent="0.2">
      <c r="A3940" s="3" t="s">
        <v>1604</v>
      </c>
      <c r="C3940" s="12">
        <v>0</v>
      </c>
      <c r="E3940" s="12">
        <v>10007.280000000001</v>
      </c>
      <c r="G3940" s="12">
        <v>146875.15</v>
      </c>
      <c r="I3940" s="12">
        <v>0</v>
      </c>
      <c r="K3940" s="12">
        <v>0</v>
      </c>
      <c r="L3940" s="9"/>
      <c r="M3940" s="12">
        <v>0</v>
      </c>
      <c r="N3940" s="9"/>
      <c r="O3940" s="12">
        <v>0</v>
      </c>
      <c r="P3940" s="9"/>
      <c r="Q3940" s="12">
        <f t="shared" si="110"/>
        <v>0</v>
      </c>
    </row>
    <row r="3941" spans="1:22" ht="11.85" hidden="1" customHeight="1" x14ac:dyDescent="0.2">
      <c r="C3941" s="2">
        <v>0</v>
      </c>
      <c r="E3941" s="2">
        <v>0</v>
      </c>
      <c r="G3941" s="2">
        <v>0</v>
      </c>
      <c r="I3941" s="2">
        <v>0</v>
      </c>
      <c r="K3941" s="2">
        <v>0</v>
      </c>
      <c r="L3941" s="9"/>
      <c r="M3941" s="2">
        <v>0</v>
      </c>
      <c r="N3941" s="9"/>
      <c r="O3941" s="2">
        <v>0</v>
      </c>
      <c r="P3941" s="9"/>
      <c r="Q3941" s="2">
        <f t="shared" si="110"/>
        <v>0</v>
      </c>
    </row>
    <row r="3942" spans="1:22" ht="11.85" hidden="1" customHeight="1" x14ac:dyDescent="0.2">
      <c r="C3942" s="12">
        <v>0</v>
      </c>
      <c r="E3942" s="12">
        <v>0</v>
      </c>
      <c r="G3942" s="12">
        <v>0</v>
      </c>
      <c r="I3942" s="12">
        <v>0</v>
      </c>
      <c r="K3942" s="12">
        <v>0</v>
      </c>
      <c r="L3942" s="9"/>
      <c r="M3942" s="12">
        <v>0</v>
      </c>
      <c r="N3942" s="9"/>
      <c r="O3942" s="12">
        <v>0</v>
      </c>
      <c r="P3942" s="9"/>
      <c r="Q3942" s="12">
        <f t="shared" si="110"/>
        <v>0</v>
      </c>
    </row>
    <row r="3943" spans="1:22" ht="11.85" customHeight="1" x14ac:dyDescent="0.2">
      <c r="A3943" s="3" t="s">
        <v>304</v>
      </c>
      <c r="C3943" s="2">
        <f>SUM(C3936:C3942)</f>
        <v>465066.34</v>
      </c>
      <c r="E3943" s="2">
        <f>SUM(E3936:E3942)</f>
        <v>7200123.4500000002</v>
      </c>
      <c r="G3943" s="2">
        <f>SUM(G3936:G3942)</f>
        <v>5292605.0700000012</v>
      </c>
      <c r="I3943" s="2">
        <f>SUM(I3936:I3942)</f>
        <v>2000000</v>
      </c>
      <c r="K3943" s="2">
        <f>SUM(K3936:K3942)</f>
        <v>3477039</v>
      </c>
      <c r="L3943" s="9"/>
      <c r="M3943" s="37">
        <f>SUM(M3936:M3942)</f>
        <v>0</v>
      </c>
      <c r="N3943" s="9"/>
      <c r="O3943" s="9">
        <f>SUM(O3936:O3942)</f>
        <v>0</v>
      </c>
      <c r="P3943" s="9"/>
      <c r="Q3943" s="9">
        <f>SUM(Q3936:Q3942)</f>
        <v>0</v>
      </c>
      <c r="T3943" s="14"/>
    </row>
    <row r="3944" spans="1:22" ht="11.85" customHeight="1" x14ac:dyDescent="0.2">
      <c r="L3944" s="9"/>
      <c r="M3944" s="37"/>
      <c r="N3944" s="9"/>
      <c r="O3944" s="9"/>
      <c r="P3944" s="9"/>
      <c r="Q3944" s="9"/>
      <c r="T3944" s="14"/>
    </row>
    <row r="3945" spans="1:22" ht="11.85" customHeight="1" x14ac:dyDescent="0.2">
      <c r="A3945" s="10" t="s">
        <v>305</v>
      </c>
      <c r="L3945" s="9"/>
      <c r="N3945" s="9"/>
      <c r="P3945" s="9"/>
    </row>
    <row r="3946" spans="1:22" ht="11.85" customHeight="1" x14ac:dyDescent="0.2">
      <c r="A3946" s="3" t="s">
        <v>1605</v>
      </c>
      <c r="C3946" s="12">
        <v>40754.5</v>
      </c>
      <c r="E3946" s="12">
        <v>40878.74</v>
      </c>
      <c r="G3946" s="12">
        <v>40859</v>
      </c>
      <c r="I3946" s="12">
        <v>40860</v>
      </c>
      <c r="K3946" s="12">
        <v>40860</v>
      </c>
      <c r="L3946" s="9"/>
      <c r="M3946" s="12">
        <v>40860</v>
      </c>
      <c r="N3946" s="9"/>
      <c r="O3946" s="12">
        <v>0</v>
      </c>
      <c r="P3946" s="9"/>
      <c r="Q3946" s="12">
        <f>M3946+O3946</f>
        <v>40860</v>
      </c>
    </row>
    <row r="3947" spans="1:22" ht="11.85" customHeight="1" x14ac:dyDescent="0.2">
      <c r="A3947" s="3" t="s">
        <v>336</v>
      </c>
      <c r="C3947" s="2">
        <f>SUM(C3946:C3946)</f>
        <v>40754.5</v>
      </c>
      <c r="E3947" s="2">
        <f>SUM(E3946:E3946)</f>
        <v>40878.74</v>
      </c>
      <c r="G3947" s="2">
        <f>SUM(G3946:G3946)</f>
        <v>40859</v>
      </c>
      <c r="I3947" s="2">
        <f>SUM(I3946:I3946)</f>
        <v>40860</v>
      </c>
      <c r="K3947" s="2">
        <f>SUM(K3946:K3946)</f>
        <v>40860</v>
      </c>
      <c r="L3947" s="9"/>
      <c r="M3947" s="2">
        <f>SUM(M3946:M3946)</f>
        <v>40860</v>
      </c>
      <c r="N3947" s="9"/>
      <c r="O3947" s="2">
        <f>SUM(O3946:O3946)</f>
        <v>0</v>
      </c>
      <c r="P3947" s="9"/>
      <c r="Q3947" s="2">
        <f>SUM(Q3946:Q3946)</f>
        <v>40860</v>
      </c>
      <c r="V3947" s="38"/>
    </row>
    <row r="3948" spans="1:22" ht="11.85" customHeight="1" x14ac:dyDescent="0.2">
      <c r="L3948" s="9"/>
      <c r="M3948" s="37"/>
      <c r="N3948" s="9"/>
      <c r="O3948" s="9"/>
      <c r="P3948" s="9"/>
      <c r="Q3948" s="9"/>
      <c r="T3948" s="14"/>
    </row>
    <row r="3949" spans="1:22" ht="11.85" customHeight="1" x14ac:dyDescent="0.2">
      <c r="A3949" s="10" t="s">
        <v>332</v>
      </c>
      <c r="L3949" s="9"/>
      <c r="N3949" s="9"/>
      <c r="P3949" s="9"/>
    </row>
    <row r="3950" spans="1:22" ht="11.85" customHeight="1" x14ac:dyDescent="0.2">
      <c r="A3950" s="3" t="s">
        <v>1606</v>
      </c>
      <c r="C3950" s="12">
        <v>220000</v>
      </c>
      <c r="E3950" s="12">
        <v>225000</v>
      </c>
      <c r="G3950" s="12">
        <v>290000</v>
      </c>
      <c r="I3950" s="12">
        <v>295000</v>
      </c>
      <c r="K3950" s="12">
        <v>295000</v>
      </c>
      <c r="L3950" s="9"/>
      <c r="M3950" s="12">
        <v>425000</v>
      </c>
      <c r="N3950" s="9"/>
      <c r="O3950" s="12">
        <v>0</v>
      </c>
      <c r="P3950" s="9"/>
      <c r="Q3950" s="12">
        <f>M3950+O3950</f>
        <v>425000</v>
      </c>
    </row>
    <row r="3951" spans="1:22" ht="11.85" customHeight="1" x14ac:dyDescent="0.2">
      <c r="A3951" s="3" t="s">
        <v>336</v>
      </c>
      <c r="C3951" s="2">
        <f>SUM(C3950:C3950)</f>
        <v>220000</v>
      </c>
      <c r="E3951" s="2">
        <f>SUM(E3950:E3950)</f>
        <v>225000</v>
      </c>
      <c r="G3951" s="2">
        <f>SUM(G3950:G3950)</f>
        <v>290000</v>
      </c>
      <c r="I3951" s="2">
        <f>SUM(I3950:I3950)</f>
        <v>295000</v>
      </c>
      <c r="K3951" s="2">
        <f>SUM(K3950:K3950)</f>
        <v>295000</v>
      </c>
      <c r="L3951" s="9"/>
      <c r="M3951" s="2">
        <f>SUM(M3950:M3950)</f>
        <v>425000</v>
      </c>
      <c r="N3951" s="9"/>
      <c r="O3951" s="2">
        <f>SUM(O3950:O3950)</f>
        <v>0</v>
      </c>
      <c r="P3951" s="9"/>
      <c r="Q3951" s="2">
        <f>SUM(Q3950:Q3950)</f>
        <v>425000</v>
      </c>
      <c r="V3951" s="38"/>
    </row>
    <row r="3952" spans="1:22" ht="11.85" customHeight="1" x14ac:dyDescent="0.2">
      <c r="L3952" s="9"/>
      <c r="N3952" s="9"/>
      <c r="P3952" s="9"/>
      <c r="T3952" s="11"/>
    </row>
    <row r="3953" spans="1:21" ht="11.85" customHeight="1" x14ac:dyDescent="0.2">
      <c r="A3953" s="3" t="s">
        <v>1607</v>
      </c>
      <c r="C3953" s="2">
        <f>+C3943+C3947+C3951</f>
        <v>725820.84000000008</v>
      </c>
      <c r="E3953" s="2">
        <f>+E3943+E3947+E3951</f>
        <v>7466002.1900000004</v>
      </c>
      <c r="G3953" s="2">
        <f>+G3943+G3947+G3951</f>
        <v>5623464.0700000012</v>
      </c>
      <c r="I3953" s="2">
        <f>+I3943+I3947+I3951</f>
        <v>2335860</v>
      </c>
      <c r="K3953" s="2">
        <f>+K3943+K3947+K3951</f>
        <v>3812899</v>
      </c>
      <c r="L3953" s="9"/>
      <c r="M3953" s="9">
        <f>+M3943+M3947+M3951</f>
        <v>465860</v>
      </c>
      <c r="N3953" s="9"/>
      <c r="O3953" s="9">
        <f>+O3943+O3947+O3951</f>
        <v>0</v>
      </c>
      <c r="P3953" s="9"/>
      <c r="Q3953" s="9">
        <f>+Q3943+Q3947+Q3951</f>
        <v>465860</v>
      </c>
      <c r="R3953" s="9"/>
      <c r="U3953" s="13"/>
    </row>
    <row r="3954" spans="1:21" ht="11.85" customHeight="1" x14ac:dyDescent="0.2">
      <c r="L3954" s="9"/>
      <c r="N3954" s="9"/>
      <c r="P3954" s="9"/>
      <c r="T3954" s="11"/>
    </row>
    <row r="3955" spans="1:21" ht="11.85" customHeight="1" x14ac:dyDescent="0.2">
      <c r="L3955" s="9"/>
      <c r="N3955" s="9"/>
      <c r="P3955" s="9"/>
    </row>
    <row r="3956" spans="1:21" ht="11.85" customHeight="1" x14ac:dyDescent="0.2">
      <c r="L3956" s="9"/>
      <c r="N3956" s="9"/>
      <c r="P3956" s="9"/>
    </row>
    <row r="3957" spans="1:21" ht="11.85" customHeight="1" x14ac:dyDescent="0.2">
      <c r="L3957" s="9"/>
      <c r="N3957" s="9"/>
      <c r="P3957" s="9"/>
    </row>
    <row r="3958" spans="1:21" ht="11.85" customHeight="1" x14ac:dyDescent="0.2">
      <c r="L3958" s="9"/>
      <c r="N3958" s="9"/>
      <c r="P3958" s="9"/>
    </row>
    <row r="3959" spans="1:21" ht="11.85" customHeight="1" x14ac:dyDescent="0.2">
      <c r="L3959" s="9"/>
      <c r="N3959" s="9"/>
      <c r="P3959" s="9"/>
    </row>
    <row r="3960" spans="1:21" ht="11.25" customHeight="1" x14ac:dyDescent="0.2">
      <c r="A3960" s="1"/>
      <c r="B3960" s="1"/>
      <c r="E3960" s="2" t="str">
        <f>$E$1</f>
        <v>CITY OF BRADY</v>
      </c>
    </row>
    <row r="3961" spans="1:21" ht="11.25" customHeight="1" x14ac:dyDescent="0.2">
      <c r="E3961" s="2" t="str">
        <f>$E$2</f>
        <v>BUDGET REPORT</v>
      </c>
    </row>
    <row r="3962" spans="1:21" ht="11.25" customHeight="1" x14ac:dyDescent="0.2">
      <c r="E3962" s="2" t="str">
        <f>$E$3</f>
        <v>FISCAL YEAR 2024 - 2025</v>
      </c>
    </row>
    <row r="3963" spans="1:21" ht="11.25" customHeight="1" x14ac:dyDescent="0.2">
      <c r="A3963" s="3" t="s">
        <v>1593</v>
      </c>
    </row>
    <row r="3964" spans="1:21" ht="11.25" customHeight="1" x14ac:dyDescent="0.2"/>
    <row r="3965" spans="1:21" ht="11.25" customHeight="1" x14ac:dyDescent="0.2">
      <c r="I3965" s="53" t="str">
        <f>$I$6</f>
        <v>(----- 2023-2024------)</v>
      </c>
      <c r="J3965" s="53"/>
      <c r="K3965" s="53"/>
      <c r="L3965" s="6"/>
      <c r="M3965" s="54" t="str">
        <f>$M$6</f>
        <v>2024-2025</v>
      </c>
      <c r="N3965" s="54"/>
      <c r="O3965" s="54"/>
      <c r="P3965" s="54"/>
      <c r="Q3965" s="54"/>
    </row>
    <row r="3966" spans="1:21" ht="11.25" customHeight="1" x14ac:dyDescent="0.2">
      <c r="C3966" s="5" t="str">
        <f>$C$7</f>
        <v>2020-2021</v>
      </c>
      <c r="D3966" s="5"/>
      <c r="E3966" s="5" t="str">
        <f>$E$7</f>
        <v>2021-2022</v>
      </c>
      <c r="F3966" s="5"/>
      <c r="G3966" s="5" t="str">
        <f>$G$7</f>
        <v>2022-2023</v>
      </c>
      <c r="H3966" s="5"/>
      <c r="I3966" s="5" t="s">
        <v>9</v>
      </c>
      <c r="J3966" s="5"/>
      <c r="K3966" s="5" t="str">
        <f>+$K$7</f>
        <v>PROJECTED</v>
      </c>
      <c r="L3966" s="6"/>
      <c r="M3966" s="5">
        <f>$M$7</f>
        <v>0</v>
      </c>
      <c r="N3966" s="6"/>
      <c r="O3966" s="5" t="str">
        <f>$O$7</f>
        <v>2024-2025</v>
      </c>
      <c r="P3966" s="6"/>
      <c r="Q3966" s="5" t="str">
        <f>$Q$7</f>
        <v>APPROVED</v>
      </c>
    </row>
    <row r="3967" spans="1:21" ht="11.25" customHeight="1" x14ac:dyDescent="0.2">
      <c r="A3967" s="7" t="s">
        <v>273</v>
      </c>
      <c r="C3967" s="8" t="s">
        <v>12</v>
      </c>
      <c r="D3967" s="5"/>
      <c r="E3967" s="8" t="s">
        <v>12</v>
      </c>
      <c r="F3967" s="5"/>
      <c r="G3967" s="8" t="s">
        <v>12</v>
      </c>
      <c r="H3967" s="5"/>
      <c r="I3967" s="8" t="s">
        <v>13</v>
      </c>
      <c r="J3967" s="5"/>
      <c r="K3967" s="8" t="s">
        <v>13</v>
      </c>
      <c r="L3967" s="6"/>
      <c r="M3967" s="8" t="str">
        <f>$M$8</f>
        <v>BASE</v>
      </c>
      <c r="N3967" s="6"/>
      <c r="O3967" s="8" t="str">
        <f>$O$8</f>
        <v>SUPPLEMENTAL</v>
      </c>
      <c r="P3967" s="6"/>
      <c r="Q3967" s="8" t="str">
        <f>$Q$8</f>
        <v>BUDGET</v>
      </c>
    </row>
    <row r="3968" spans="1:21" s="39" customFormat="1" ht="10.15" customHeight="1" x14ac:dyDescent="0.25">
      <c r="C3968" s="40"/>
      <c r="D3968" s="40"/>
      <c r="E3968" s="40"/>
      <c r="F3968" s="40"/>
      <c r="G3968" s="40"/>
      <c r="H3968" s="40"/>
      <c r="I3968" s="40"/>
      <c r="J3968" s="40"/>
      <c r="K3968" s="40"/>
      <c r="M3968" s="40"/>
      <c r="O3968" s="40"/>
      <c r="Q3968" s="40"/>
      <c r="S3968" s="40"/>
      <c r="T3968" s="4"/>
    </row>
    <row r="3969" spans="1:20" s="39" customFormat="1" ht="11.25" customHeight="1" x14ac:dyDescent="0.25">
      <c r="C3969" s="40"/>
      <c r="D3969" s="40"/>
      <c r="E3969" s="40"/>
      <c r="F3969" s="40"/>
      <c r="G3969" s="40"/>
      <c r="H3969" s="40"/>
      <c r="I3969" s="40"/>
      <c r="J3969" s="40"/>
      <c r="K3969" s="40"/>
      <c r="L3969" s="41"/>
      <c r="M3969" s="40"/>
      <c r="N3969" s="41"/>
      <c r="O3969" s="40"/>
      <c r="P3969" s="41"/>
      <c r="Q3969" s="40"/>
      <c r="S3969" s="40"/>
      <c r="T3969" s="4"/>
    </row>
    <row r="3970" spans="1:20" s="39" customFormat="1" ht="11.25" customHeight="1" thickBot="1" x14ac:dyDescent="0.3">
      <c r="A3970" s="3" t="s">
        <v>1123</v>
      </c>
      <c r="B3970" s="3"/>
      <c r="C3970" s="25">
        <f>+C3953</f>
        <v>725820.84000000008</v>
      </c>
      <c r="D3970" s="2"/>
      <c r="E3970" s="25">
        <f>+E3953</f>
        <v>7466002.1900000004</v>
      </c>
      <c r="F3970" s="2"/>
      <c r="G3970" s="25">
        <f>+G3953</f>
        <v>5623464.0700000012</v>
      </c>
      <c r="H3970" s="2"/>
      <c r="I3970" s="25">
        <f>+I3953</f>
        <v>2335860</v>
      </c>
      <c r="J3970" s="2"/>
      <c r="K3970" s="25">
        <f>+K3953</f>
        <v>3812899</v>
      </c>
      <c r="L3970" s="9"/>
      <c r="M3970" s="36">
        <f>+M3953</f>
        <v>465860</v>
      </c>
      <c r="N3970" s="9"/>
      <c r="O3970" s="36">
        <f>+O3953</f>
        <v>0</v>
      </c>
      <c r="P3970" s="9"/>
      <c r="Q3970" s="36">
        <f>+Q3953</f>
        <v>465860</v>
      </c>
      <c r="R3970" s="3"/>
      <c r="S3970" s="40"/>
      <c r="T3970" s="4"/>
    </row>
    <row r="3971" spans="1:20" s="39" customFormat="1" ht="11.25" customHeight="1" thickTop="1" x14ac:dyDescent="0.25">
      <c r="A3971" s="3"/>
      <c r="B3971" s="3"/>
      <c r="C3971" s="9"/>
      <c r="D3971" s="9"/>
      <c r="E3971" s="9"/>
      <c r="F3971" s="9"/>
      <c r="G3971" s="9"/>
      <c r="H3971" s="9"/>
      <c r="I3971" s="9"/>
      <c r="J3971" s="9"/>
      <c r="K3971" s="9"/>
      <c r="L3971" s="9"/>
      <c r="M3971" s="9"/>
      <c r="N3971" s="9"/>
      <c r="O3971" s="9"/>
      <c r="P3971" s="9"/>
      <c r="Q3971" s="9"/>
      <c r="R3971" s="3"/>
      <c r="S3971" s="40"/>
      <c r="T3971" s="4"/>
    </row>
    <row r="3972" spans="1:20" s="39" customFormat="1" ht="11.25" customHeight="1" thickBot="1" x14ac:dyDescent="0.3">
      <c r="A3972" s="3" t="s">
        <v>1124</v>
      </c>
      <c r="B3972" s="3"/>
      <c r="C3972" s="36">
        <f>C3905-C3970</f>
        <v>1442778.7099999997</v>
      </c>
      <c r="D3972" s="9"/>
      <c r="E3972" s="36">
        <f>E3905-E3970</f>
        <v>-7153393.6400000006</v>
      </c>
      <c r="F3972" s="9"/>
      <c r="G3972" s="36">
        <f>G3905-G3970</f>
        <v>-5097537.7100000009</v>
      </c>
      <c r="H3972" s="9"/>
      <c r="I3972" s="36">
        <f>I3905-I3970</f>
        <v>-2000000</v>
      </c>
      <c r="J3972" s="9"/>
      <c r="K3972" s="36">
        <f>K3905-K3970</f>
        <v>-3477039</v>
      </c>
      <c r="L3972" s="9"/>
      <c r="M3972" s="36">
        <f>M3905-M3970</f>
        <v>0</v>
      </c>
      <c r="N3972" s="9"/>
      <c r="O3972" s="36">
        <f>O3905-O3970</f>
        <v>0</v>
      </c>
      <c r="P3972" s="9"/>
      <c r="Q3972" s="36">
        <f>Q3905-Q3970</f>
        <v>0</v>
      </c>
      <c r="R3972" s="3"/>
      <c r="S3972" s="40"/>
      <c r="T3972" s="4"/>
    </row>
    <row r="3973" spans="1:20" s="39" customFormat="1" ht="11.25" customHeight="1" thickTop="1" x14ac:dyDescent="0.25">
      <c r="A3973" s="3"/>
      <c r="B3973" s="3"/>
      <c r="C3973" s="2"/>
      <c r="D3973" s="2"/>
      <c r="E3973" s="2"/>
      <c r="F3973" s="2"/>
      <c r="G3973" s="2"/>
      <c r="H3973" s="2"/>
      <c r="I3973" s="2"/>
      <c r="J3973" s="2"/>
      <c r="K3973" s="2"/>
      <c r="L3973" s="9"/>
      <c r="M3973" s="2"/>
      <c r="N3973" s="9"/>
      <c r="O3973" s="2"/>
      <c r="P3973" s="9"/>
      <c r="Q3973" s="2"/>
      <c r="R3973" s="3"/>
      <c r="S3973" s="40"/>
      <c r="T3973" s="4"/>
    </row>
    <row r="3974" spans="1:20" s="39" customFormat="1" ht="11.25" customHeight="1" x14ac:dyDescent="0.25">
      <c r="A3974" s="3"/>
      <c r="B3974" s="3"/>
      <c r="C3974" s="2"/>
      <c r="D3974" s="2"/>
      <c r="E3974" s="2"/>
      <c r="F3974" s="2"/>
      <c r="G3974" s="2"/>
      <c r="H3974" s="2"/>
      <c r="I3974" s="2"/>
      <c r="J3974" s="2"/>
      <c r="K3974" s="2"/>
      <c r="L3974" s="9"/>
      <c r="M3974" s="2"/>
      <c r="N3974" s="9"/>
      <c r="O3974" s="2"/>
      <c r="P3974" s="9"/>
      <c r="Q3974" s="2"/>
      <c r="R3974" s="3"/>
      <c r="S3974" s="40"/>
      <c r="T3974" s="4"/>
    </row>
    <row r="3975" spans="1:20" s="39" customFormat="1" ht="11.25" customHeight="1" x14ac:dyDescent="0.25">
      <c r="A3975" s="3" t="s">
        <v>1125</v>
      </c>
      <c r="B3975" s="3"/>
      <c r="C3975" s="2"/>
      <c r="D3975" s="2"/>
      <c r="E3975" s="2"/>
      <c r="F3975" s="2"/>
      <c r="G3975" s="2"/>
      <c r="H3975" s="2"/>
      <c r="I3975" s="2"/>
      <c r="J3975" s="2"/>
      <c r="K3975" s="2"/>
      <c r="L3975" s="9"/>
      <c r="M3975" s="2"/>
      <c r="N3975" s="9"/>
      <c r="O3975" s="2"/>
      <c r="P3975" s="9"/>
      <c r="Q3975" s="2"/>
      <c r="R3975" s="3"/>
      <c r="S3975" s="40"/>
      <c r="T3975" s="4"/>
    </row>
    <row r="3976" spans="1:20" s="39" customFormat="1" ht="11.25" customHeight="1" thickBot="1" x14ac:dyDescent="0.3">
      <c r="A3976" s="3" t="s">
        <v>17</v>
      </c>
      <c r="B3976" s="3"/>
      <c r="C3976" s="25">
        <f>C3889+C3905-C3953</f>
        <v>15957448.719999999</v>
      </c>
      <c r="D3976" s="2"/>
      <c r="E3976" s="25">
        <f>E3889+E3905-E3953</f>
        <v>8804055.0799999982</v>
      </c>
      <c r="F3976" s="2"/>
      <c r="G3976" s="25">
        <f>G3889+G3905-G3953</f>
        <v>3706517.3699999964</v>
      </c>
      <c r="H3976" s="2"/>
      <c r="I3976" s="25">
        <f>I3889+I3905-I3953</f>
        <v>1706517.3699999964</v>
      </c>
      <c r="J3976" s="2"/>
      <c r="K3976" s="25">
        <f>K3889+K3905-K3953</f>
        <v>229478.36999999639</v>
      </c>
      <c r="L3976" s="9"/>
      <c r="M3976" s="36">
        <f>M3889+M3905-M3953</f>
        <v>229478.36999999639</v>
      </c>
      <c r="N3976" s="9"/>
      <c r="O3976" s="2"/>
      <c r="P3976" s="9"/>
      <c r="Q3976" s="36">
        <f>Q3889+Q3905-Q3953</f>
        <v>229478.36999999639</v>
      </c>
      <c r="R3976" s="3"/>
      <c r="S3976" s="40"/>
      <c r="T3976" s="4"/>
    </row>
    <row r="3977" spans="1:20" s="39" customFormat="1" ht="11.25" customHeight="1" thickTop="1" x14ac:dyDescent="0.25">
      <c r="A3977" s="3"/>
      <c r="B3977" s="3"/>
      <c r="C3977" s="2"/>
      <c r="D3977" s="2"/>
      <c r="E3977" s="2"/>
      <c r="F3977" s="2"/>
      <c r="G3977" s="2"/>
      <c r="H3977" s="2"/>
      <c r="I3977" s="2"/>
      <c r="J3977" s="2"/>
      <c r="K3977" s="2"/>
      <c r="L3977" s="9"/>
      <c r="M3977" s="2"/>
      <c r="N3977" s="9"/>
      <c r="O3977" s="2"/>
      <c r="P3977" s="9"/>
      <c r="Q3977" s="2"/>
      <c r="R3977" s="3"/>
      <c r="S3977" s="40"/>
      <c r="T3977" s="4"/>
    </row>
    <row r="3978" spans="1:20" s="39" customFormat="1" ht="11.25" customHeight="1" x14ac:dyDescent="0.25">
      <c r="C3978" s="40"/>
      <c r="D3978" s="40"/>
      <c r="E3978" s="40"/>
      <c r="F3978" s="40"/>
      <c r="G3978" s="40"/>
      <c r="H3978" s="40"/>
      <c r="I3978" s="40"/>
      <c r="J3978" s="40"/>
      <c r="K3978" s="40"/>
      <c r="M3978" s="40"/>
      <c r="O3978" s="40"/>
      <c r="Q3978" s="40"/>
      <c r="S3978" s="40"/>
      <c r="T3978" s="4"/>
    </row>
    <row r="3979" spans="1:20" ht="11.25" customHeight="1" x14ac:dyDescent="0.2"/>
    <row r="3980" spans="1:20" ht="11.25" customHeight="1" x14ac:dyDescent="0.2"/>
    <row r="3981" spans="1:20" ht="11.25" customHeight="1" x14ac:dyDescent="0.2"/>
    <row r="3982" spans="1:20" ht="11.25" customHeight="1" x14ac:dyDescent="0.2"/>
    <row r="3983" spans="1:20" ht="11.25" customHeight="1" x14ac:dyDescent="0.2"/>
    <row r="3984" spans="1:20" ht="11.25" customHeight="1" x14ac:dyDescent="0.2"/>
    <row r="3985" spans="1:5" ht="11.25" customHeight="1" x14ac:dyDescent="0.2"/>
    <row r="3986" spans="1:5" ht="11.25" customHeight="1" x14ac:dyDescent="0.2"/>
    <row r="3987" spans="1:5" ht="11.85" customHeight="1" x14ac:dyDescent="0.2"/>
    <row r="3988" spans="1:5" ht="11.85" customHeight="1" x14ac:dyDescent="0.2"/>
    <row r="3989" spans="1:5" ht="11.85" customHeight="1" x14ac:dyDescent="0.2"/>
    <row r="3990" spans="1:5" ht="11.85" customHeight="1" x14ac:dyDescent="0.2"/>
    <row r="3991" spans="1:5" ht="11.85" customHeight="1" x14ac:dyDescent="0.2"/>
    <row r="3992" spans="1:5" ht="11.85" customHeight="1" x14ac:dyDescent="0.2"/>
    <row r="3993" spans="1:5" ht="11.85" customHeight="1" x14ac:dyDescent="0.2"/>
    <row r="3994" spans="1:5" ht="11.85" customHeight="1" x14ac:dyDescent="0.2"/>
    <row r="3995" spans="1:5" ht="11.85" customHeight="1" x14ac:dyDescent="0.2"/>
    <row r="3996" spans="1:5" ht="11.85" customHeight="1" x14ac:dyDescent="0.2"/>
    <row r="3997" spans="1:5" ht="11.85" customHeight="1" x14ac:dyDescent="0.2"/>
    <row r="3998" spans="1:5" ht="11.85" customHeight="1" x14ac:dyDescent="0.2">
      <c r="A3998" s="1"/>
      <c r="B3998" s="1"/>
      <c r="E3998" s="2" t="str">
        <f>$E$1</f>
        <v>CITY OF BRADY</v>
      </c>
    </row>
    <row r="3999" spans="1:5" ht="11.85" customHeight="1" x14ac:dyDescent="0.2">
      <c r="E3999" s="2" t="str">
        <f>$E$2</f>
        <v>BUDGET REPORT</v>
      </c>
    </row>
    <row r="4000" spans="1:5" ht="11.85" customHeight="1" x14ac:dyDescent="0.2">
      <c r="E4000" s="2" t="str">
        <f>$E$3</f>
        <v>FISCAL YEAR 2024 - 2025</v>
      </c>
    </row>
    <row r="4001" spans="1:19" ht="11.85" customHeight="1" x14ac:dyDescent="0.2">
      <c r="A4001" s="3" t="s">
        <v>1608</v>
      </c>
    </row>
    <row r="4002" spans="1:19" ht="11.85" customHeight="1" x14ac:dyDescent="0.2"/>
    <row r="4003" spans="1:19" ht="11.85" customHeight="1" x14ac:dyDescent="0.2">
      <c r="I4003" s="53" t="str">
        <f>$I$6</f>
        <v>(----- 2023-2024------)</v>
      </c>
      <c r="J4003" s="53"/>
      <c r="K4003" s="53"/>
      <c r="L4003" s="6"/>
      <c r="M4003" s="54" t="str">
        <f>$M$6</f>
        <v>2024-2025</v>
      </c>
      <c r="N4003" s="54"/>
      <c r="O4003" s="54"/>
      <c r="P4003" s="54"/>
      <c r="Q4003" s="54"/>
    </row>
    <row r="4004" spans="1:19" ht="11.85" customHeight="1" x14ac:dyDescent="0.2">
      <c r="C4004" s="5" t="str">
        <f>$C$7</f>
        <v>2020-2021</v>
      </c>
      <c r="D4004" s="5"/>
      <c r="E4004" s="5" t="str">
        <f>$E$7</f>
        <v>2021-2022</v>
      </c>
      <c r="F4004" s="5"/>
      <c r="G4004" s="5" t="str">
        <f>$G$7</f>
        <v>2022-2023</v>
      </c>
      <c r="H4004" s="5"/>
      <c r="I4004" s="5" t="s">
        <v>9</v>
      </c>
      <c r="J4004" s="5"/>
      <c r="K4004" s="5" t="str">
        <f>+$K$7</f>
        <v>PROJECTED</v>
      </c>
      <c r="L4004" s="6"/>
      <c r="M4004" s="5">
        <f>$M$7</f>
        <v>0</v>
      </c>
      <c r="N4004" s="6"/>
      <c r="O4004" s="5" t="str">
        <f>$O$7</f>
        <v>2024-2025</v>
      </c>
      <c r="P4004" s="6"/>
      <c r="Q4004" s="5" t="str">
        <f>$Q$7</f>
        <v>APPROVED</v>
      </c>
    </row>
    <row r="4005" spans="1:19" ht="11.85" customHeight="1" x14ac:dyDescent="0.2">
      <c r="A4005" s="7"/>
      <c r="C4005" s="8" t="s">
        <v>12</v>
      </c>
      <c r="D4005" s="5"/>
      <c r="E4005" s="8" t="s">
        <v>12</v>
      </c>
      <c r="F4005" s="5"/>
      <c r="G4005" s="8" t="s">
        <v>12</v>
      </c>
      <c r="H4005" s="5"/>
      <c r="I4005" s="8" t="s">
        <v>13</v>
      </c>
      <c r="J4005" s="5"/>
      <c r="K4005" s="8" t="s">
        <v>13</v>
      </c>
      <c r="L4005" s="6"/>
      <c r="M4005" s="8" t="str">
        <f>$M$8</f>
        <v>BASE</v>
      </c>
      <c r="N4005" s="6"/>
      <c r="O4005" s="8" t="str">
        <f>$O$8</f>
        <v>SUPPLEMENTAL</v>
      </c>
      <c r="P4005" s="6"/>
      <c r="Q4005" s="8" t="str">
        <f>$Q$8</f>
        <v>BUDGET</v>
      </c>
    </row>
    <row r="4006" spans="1:19" ht="11.85" customHeight="1" x14ac:dyDescent="0.2"/>
    <row r="4007" spans="1:19" ht="11.85" customHeight="1" x14ac:dyDescent="0.2">
      <c r="A4007" s="3" t="s">
        <v>16</v>
      </c>
    </row>
    <row r="4008" spans="1:19" ht="11.85" customHeight="1" x14ac:dyDescent="0.2">
      <c r="A4008" s="3" t="s">
        <v>17</v>
      </c>
      <c r="C4008" s="2">
        <v>478060.26</v>
      </c>
      <c r="E4008" s="2">
        <f>C4207</f>
        <v>625257.90999999992</v>
      </c>
      <c r="G4008" s="2">
        <f>E4207</f>
        <v>481953.03999999957</v>
      </c>
      <c r="I4008" s="2">
        <f>G4207</f>
        <v>515062.34999999939</v>
      </c>
      <c r="K4008" s="2">
        <f>+I4008</f>
        <v>515062.34999999939</v>
      </c>
      <c r="L4008" s="9"/>
      <c r="M4008" s="2">
        <f>K4207</f>
        <v>474540.34999999939</v>
      </c>
      <c r="N4008" s="9"/>
      <c r="P4008" s="9"/>
      <c r="Q4008" s="2">
        <f>M4008</f>
        <v>474540.34999999939</v>
      </c>
      <c r="S4008" s="18"/>
    </row>
    <row r="4009" spans="1:19" ht="11.85" customHeight="1" x14ac:dyDescent="0.2">
      <c r="L4009" s="9"/>
      <c r="N4009" s="9"/>
      <c r="P4009" s="9"/>
    </row>
    <row r="4010" spans="1:19" ht="11.85" customHeight="1" x14ac:dyDescent="0.2">
      <c r="A4010" s="10" t="s">
        <v>18</v>
      </c>
      <c r="L4010" s="9"/>
      <c r="N4010" s="9"/>
      <c r="P4010" s="9"/>
    </row>
    <row r="4011" spans="1:19" ht="11.85" customHeight="1" x14ac:dyDescent="0.2">
      <c r="L4011" s="9"/>
      <c r="N4011" s="9"/>
      <c r="P4011" s="9"/>
    </row>
    <row r="4012" spans="1:19" ht="11.85" customHeight="1" x14ac:dyDescent="0.2">
      <c r="A4012" s="10" t="s">
        <v>1609</v>
      </c>
      <c r="L4012" s="9"/>
      <c r="N4012" s="9"/>
      <c r="P4012" s="9"/>
    </row>
    <row r="4013" spans="1:19" ht="11.85" customHeight="1" x14ac:dyDescent="0.2">
      <c r="A4013" s="3" t="s">
        <v>1610</v>
      </c>
      <c r="C4013" s="2">
        <v>407960.14</v>
      </c>
      <c r="E4013" s="2">
        <v>399226.98</v>
      </c>
      <c r="G4013" s="2">
        <v>428549.88</v>
      </c>
      <c r="I4013" s="2">
        <v>425000</v>
      </c>
      <c r="K4013" s="2">
        <v>425000</v>
      </c>
      <c r="L4013" s="9"/>
      <c r="M4013" s="2">
        <v>420000</v>
      </c>
      <c r="N4013" s="9"/>
      <c r="O4013" s="2">
        <v>0</v>
      </c>
      <c r="P4013" s="9"/>
      <c r="Q4013" s="2">
        <f t="shared" ref="Q4013:Q4019" si="111">M4013+O4013</f>
        <v>420000</v>
      </c>
    </row>
    <row r="4014" spans="1:19" ht="11.85" customHeight="1" x14ac:dyDescent="0.2">
      <c r="A4014" s="3" t="s">
        <v>1611</v>
      </c>
      <c r="C4014" s="2">
        <v>168767.47</v>
      </c>
      <c r="E4014" s="2">
        <v>186315.5</v>
      </c>
      <c r="G4014" s="2">
        <v>178809.3</v>
      </c>
      <c r="I4014" s="2">
        <v>200000</v>
      </c>
      <c r="K4014" s="2">
        <v>200000</v>
      </c>
      <c r="L4014" s="9"/>
      <c r="M4014" s="2">
        <v>195000</v>
      </c>
      <c r="N4014" s="9"/>
      <c r="O4014" s="2">
        <v>0</v>
      </c>
      <c r="P4014" s="9"/>
      <c r="Q4014" s="2">
        <f t="shared" si="111"/>
        <v>195000</v>
      </c>
    </row>
    <row r="4015" spans="1:19" ht="11.85" customHeight="1" x14ac:dyDescent="0.2">
      <c r="A4015" s="3" t="s">
        <v>1612</v>
      </c>
      <c r="C4015" s="2">
        <v>10610.87</v>
      </c>
      <c r="E4015" s="2">
        <v>19097.599999999999</v>
      </c>
      <c r="G4015" s="2">
        <v>18143.04</v>
      </c>
      <c r="I4015" s="2">
        <v>15000</v>
      </c>
      <c r="K4015" s="2">
        <v>15000</v>
      </c>
      <c r="L4015" s="9"/>
      <c r="M4015" s="2">
        <v>18000</v>
      </c>
      <c r="N4015" s="9"/>
      <c r="O4015" s="2">
        <v>0</v>
      </c>
      <c r="P4015" s="9"/>
      <c r="Q4015" s="2">
        <f t="shared" si="111"/>
        <v>18000</v>
      </c>
    </row>
    <row r="4016" spans="1:19" ht="11.85" customHeight="1" x14ac:dyDescent="0.2">
      <c r="A4016" s="3" t="s">
        <v>1613</v>
      </c>
      <c r="C4016" s="2">
        <v>556000.36</v>
      </c>
      <c r="E4016" s="2">
        <v>751002.62</v>
      </c>
      <c r="G4016" s="2">
        <v>535688.03</v>
      </c>
      <c r="I4016" s="2">
        <v>600000</v>
      </c>
      <c r="K4016" s="2">
        <v>600000</v>
      </c>
      <c r="L4016" s="9"/>
      <c r="M4016" s="2">
        <v>500000</v>
      </c>
      <c r="N4016" s="9"/>
      <c r="O4016" s="2">
        <v>0</v>
      </c>
      <c r="P4016" s="9"/>
      <c r="Q4016" s="2">
        <f t="shared" si="111"/>
        <v>500000</v>
      </c>
    </row>
    <row r="4017" spans="1:17" ht="11.85" customHeight="1" x14ac:dyDescent="0.2">
      <c r="A4017" s="3" t="s">
        <v>1614</v>
      </c>
      <c r="C4017" s="2">
        <v>-0.62</v>
      </c>
      <c r="E4017" s="2">
        <v>2047</v>
      </c>
      <c r="G4017" s="2">
        <v>-0.34</v>
      </c>
      <c r="I4017" s="2">
        <v>2000</v>
      </c>
      <c r="K4017" s="2">
        <v>2000</v>
      </c>
      <c r="L4017" s="9"/>
      <c r="M4017" s="2">
        <v>2000</v>
      </c>
      <c r="N4017" s="9"/>
      <c r="O4017" s="2">
        <v>0</v>
      </c>
      <c r="P4017" s="9"/>
      <c r="Q4017" s="2">
        <f t="shared" si="111"/>
        <v>2000</v>
      </c>
    </row>
    <row r="4018" spans="1:17" ht="11.85" customHeight="1" x14ac:dyDescent="0.2">
      <c r="A4018" s="3" t="s">
        <v>1615</v>
      </c>
      <c r="C4018" s="2">
        <v>6574.66</v>
      </c>
      <c r="E4018" s="2">
        <v>5642.67</v>
      </c>
      <c r="G4018" s="2">
        <v>6081.81</v>
      </c>
      <c r="I4018" s="2">
        <v>6500</v>
      </c>
      <c r="K4018" s="2">
        <v>6500</v>
      </c>
      <c r="L4018" s="9"/>
      <c r="M4018" s="2">
        <v>6500</v>
      </c>
      <c r="N4018" s="9"/>
      <c r="O4018" s="2">
        <v>0</v>
      </c>
      <c r="P4018" s="9"/>
      <c r="Q4018" s="2">
        <f t="shared" si="111"/>
        <v>6500</v>
      </c>
    </row>
    <row r="4019" spans="1:17" ht="11.85" customHeight="1" x14ac:dyDescent="0.2">
      <c r="A4019" s="3" t="s">
        <v>1616</v>
      </c>
      <c r="C4019" s="12">
        <v>0</v>
      </c>
      <c r="E4019" s="12">
        <v>0</v>
      </c>
      <c r="G4019" s="12">
        <v>0</v>
      </c>
      <c r="I4019" s="12">
        <v>0</v>
      </c>
      <c r="K4019" s="12">
        <v>0</v>
      </c>
      <c r="L4019" s="9"/>
      <c r="M4019" s="12">
        <v>0</v>
      </c>
      <c r="N4019" s="9"/>
      <c r="O4019" s="12">
        <v>0</v>
      </c>
      <c r="P4019" s="9"/>
      <c r="Q4019" s="12">
        <f t="shared" si="111"/>
        <v>0</v>
      </c>
    </row>
    <row r="4020" spans="1:17" ht="11.85" customHeight="1" x14ac:dyDescent="0.2">
      <c r="A4020" s="3" t="s">
        <v>1326</v>
      </c>
      <c r="C4020" s="2">
        <f>SUM(C4013:C4019)</f>
        <v>1149912.8799999997</v>
      </c>
      <c r="E4020" s="2">
        <f>SUM(E4013:E4019)</f>
        <v>1363332.3699999999</v>
      </c>
      <c r="G4020" s="2">
        <f>SUM(G4013:G4019)</f>
        <v>1167271.72</v>
      </c>
      <c r="I4020" s="2">
        <f>SUM(I4013:I4019)</f>
        <v>1248500</v>
      </c>
      <c r="K4020" s="2">
        <f>SUM(K4013:K4019)</f>
        <v>1248500</v>
      </c>
      <c r="L4020" s="9"/>
      <c r="M4020" s="2">
        <f>SUM(M4013:M4019)</f>
        <v>1141500</v>
      </c>
      <c r="N4020" s="9"/>
      <c r="O4020" s="2">
        <f>SUM(O4013:O4019)</f>
        <v>0</v>
      </c>
      <c r="P4020" s="9"/>
      <c r="Q4020" s="2">
        <f>SUM(Q4013:Q4019)</f>
        <v>1141500</v>
      </c>
    </row>
    <row r="4021" spans="1:17" ht="11.85" customHeight="1" x14ac:dyDescent="0.2">
      <c r="L4021" s="9"/>
      <c r="N4021" s="9"/>
      <c r="P4021" s="9"/>
    </row>
    <row r="4022" spans="1:17" ht="11.85" customHeight="1" x14ac:dyDescent="0.2">
      <c r="A4022" s="10" t="s">
        <v>1617</v>
      </c>
      <c r="L4022" s="9"/>
      <c r="N4022" s="9"/>
      <c r="P4022" s="9"/>
    </row>
    <row r="4023" spans="1:17" ht="11.85" customHeight="1" x14ac:dyDescent="0.2">
      <c r="A4023" s="3" t="s">
        <v>1618</v>
      </c>
      <c r="C4023" s="2">
        <v>277.10000000000002</v>
      </c>
      <c r="E4023" s="2">
        <v>537.20000000000005</v>
      </c>
      <c r="G4023" s="2">
        <v>217.8</v>
      </c>
      <c r="I4023" s="2">
        <v>0</v>
      </c>
      <c r="K4023" s="2">
        <v>0</v>
      </c>
      <c r="L4023" s="9"/>
      <c r="M4023" s="2">
        <v>0</v>
      </c>
      <c r="N4023" s="9"/>
      <c r="O4023" s="2">
        <v>0</v>
      </c>
      <c r="P4023" s="9"/>
      <c r="Q4023" s="2">
        <f t="shared" ref="Q4023:Q4030" si="112">M4023+O4023</f>
        <v>0</v>
      </c>
    </row>
    <row r="4024" spans="1:17" ht="11.85" customHeight="1" x14ac:dyDescent="0.2">
      <c r="A4024" s="3" t="s">
        <v>1619</v>
      </c>
      <c r="C4024" s="2">
        <v>435.7</v>
      </c>
      <c r="E4024" s="2">
        <v>0</v>
      </c>
      <c r="G4024" s="2">
        <v>318</v>
      </c>
      <c r="I4024" s="2">
        <v>0</v>
      </c>
      <c r="K4024" s="2">
        <v>0</v>
      </c>
      <c r="L4024" s="9"/>
      <c r="M4024" s="2">
        <v>0</v>
      </c>
      <c r="N4024" s="9"/>
      <c r="O4024" s="2">
        <v>0</v>
      </c>
      <c r="P4024" s="9"/>
      <c r="Q4024" s="2">
        <f t="shared" si="112"/>
        <v>0</v>
      </c>
    </row>
    <row r="4025" spans="1:17" ht="11.85" customHeight="1" x14ac:dyDescent="0.2">
      <c r="A4025" s="3" t="s">
        <v>1620</v>
      </c>
      <c r="C4025" s="2">
        <v>0</v>
      </c>
      <c r="E4025" s="2">
        <v>0</v>
      </c>
      <c r="G4025" s="2">
        <v>0</v>
      </c>
      <c r="I4025" s="2">
        <v>0</v>
      </c>
      <c r="K4025" s="2">
        <v>0</v>
      </c>
      <c r="L4025" s="9"/>
      <c r="M4025" s="2">
        <v>0</v>
      </c>
      <c r="N4025" s="9"/>
      <c r="O4025" s="2">
        <v>0</v>
      </c>
      <c r="P4025" s="9"/>
      <c r="Q4025" s="2">
        <f t="shared" si="112"/>
        <v>0</v>
      </c>
    </row>
    <row r="4026" spans="1:17" ht="11.85" customHeight="1" x14ac:dyDescent="0.2">
      <c r="A4026" s="3" t="s">
        <v>1621</v>
      </c>
      <c r="C4026" s="2">
        <v>0</v>
      </c>
      <c r="E4026" s="2">
        <v>750</v>
      </c>
      <c r="G4026" s="2">
        <v>0</v>
      </c>
      <c r="I4026" s="2">
        <v>0</v>
      </c>
      <c r="K4026" s="2">
        <v>0</v>
      </c>
      <c r="L4026" s="9"/>
      <c r="M4026" s="2">
        <v>0</v>
      </c>
      <c r="N4026" s="9"/>
      <c r="O4026" s="2">
        <v>0</v>
      </c>
      <c r="P4026" s="9"/>
      <c r="Q4026" s="2">
        <f t="shared" si="112"/>
        <v>0</v>
      </c>
    </row>
    <row r="4027" spans="1:17" ht="11.85" customHeight="1" x14ac:dyDescent="0.2">
      <c r="A4027" s="3" t="s">
        <v>1622</v>
      </c>
      <c r="C4027" s="2">
        <v>-355</v>
      </c>
      <c r="E4027" s="2">
        <v>355</v>
      </c>
      <c r="G4027" s="2">
        <v>0</v>
      </c>
      <c r="I4027" s="2">
        <v>0</v>
      </c>
      <c r="K4027" s="2">
        <v>0</v>
      </c>
      <c r="L4027" s="9"/>
      <c r="M4027" s="2">
        <v>0</v>
      </c>
      <c r="N4027" s="9"/>
      <c r="O4027" s="2">
        <v>0</v>
      </c>
      <c r="P4027" s="9"/>
      <c r="Q4027" s="2">
        <f t="shared" si="112"/>
        <v>0</v>
      </c>
    </row>
    <row r="4028" spans="1:17" ht="11.85" customHeight="1" x14ac:dyDescent="0.2">
      <c r="A4028" s="3" t="s">
        <v>1623</v>
      </c>
      <c r="C4028" s="2">
        <v>0</v>
      </c>
      <c r="E4028" s="2">
        <v>0</v>
      </c>
      <c r="G4028" s="2">
        <v>0</v>
      </c>
      <c r="I4028" s="2">
        <v>0</v>
      </c>
      <c r="K4028" s="2">
        <v>0</v>
      </c>
      <c r="L4028" s="9"/>
      <c r="M4028" s="2">
        <v>0</v>
      </c>
      <c r="N4028" s="9"/>
      <c r="O4028" s="2">
        <v>0</v>
      </c>
      <c r="P4028" s="9"/>
      <c r="Q4028" s="2">
        <f t="shared" si="112"/>
        <v>0</v>
      </c>
    </row>
    <row r="4029" spans="1:17" ht="11.85" customHeight="1" x14ac:dyDescent="0.2">
      <c r="A4029" s="3" t="s">
        <v>1624</v>
      </c>
      <c r="C4029" s="2">
        <v>6815.9</v>
      </c>
      <c r="E4029" s="2">
        <v>6502.93</v>
      </c>
      <c r="G4029" s="2">
        <v>29831.46</v>
      </c>
      <c r="I4029" s="2">
        <v>15000</v>
      </c>
      <c r="K4029" s="2">
        <f>15000+13000</f>
        <v>28000</v>
      </c>
      <c r="L4029" s="9"/>
      <c r="M4029" s="2">
        <v>21500</v>
      </c>
      <c r="N4029" s="9"/>
      <c r="O4029" s="2">
        <v>0</v>
      </c>
      <c r="P4029" s="9"/>
      <c r="Q4029" s="2">
        <f t="shared" si="112"/>
        <v>21500</v>
      </c>
    </row>
    <row r="4030" spans="1:17" ht="11.85" customHeight="1" x14ac:dyDescent="0.2">
      <c r="A4030" s="3" t="s">
        <v>1625</v>
      </c>
      <c r="C4030" s="12">
        <v>356.4</v>
      </c>
      <c r="E4030" s="12">
        <v>0</v>
      </c>
      <c r="G4030" s="12">
        <v>0</v>
      </c>
      <c r="I4030" s="12">
        <v>0</v>
      </c>
      <c r="K4030" s="12">
        <v>0</v>
      </c>
      <c r="L4030" s="9"/>
      <c r="M4030" s="12">
        <v>0</v>
      </c>
      <c r="N4030" s="9"/>
      <c r="O4030" s="12">
        <v>0</v>
      </c>
      <c r="P4030" s="9"/>
      <c r="Q4030" s="12">
        <f t="shared" si="112"/>
        <v>0</v>
      </c>
    </row>
    <row r="4031" spans="1:17" ht="11.85" customHeight="1" x14ac:dyDescent="0.2">
      <c r="A4031" s="3" t="s">
        <v>1337</v>
      </c>
      <c r="C4031" s="2">
        <f>SUM(C4023:C4030)</f>
        <v>7530.0999999999995</v>
      </c>
      <c r="E4031" s="2">
        <f>SUM(E4023:E4030)</f>
        <v>8145.13</v>
      </c>
      <c r="G4031" s="2">
        <f>SUM(G4023:G4030)</f>
        <v>30367.26</v>
      </c>
      <c r="I4031" s="2">
        <f>SUM(I4023:I4030)</f>
        <v>15000</v>
      </c>
      <c r="K4031" s="2">
        <f>SUM(K4023:K4030)</f>
        <v>28000</v>
      </c>
      <c r="L4031" s="9"/>
      <c r="M4031" s="2">
        <f>SUM(M4023:M4030)</f>
        <v>21500</v>
      </c>
      <c r="N4031" s="9"/>
      <c r="O4031" s="2">
        <f>SUM(O4023:O4030)</f>
        <v>0</v>
      </c>
      <c r="P4031" s="9"/>
      <c r="Q4031" s="2">
        <f>SUM(Q4023:Q4030)</f>
        <v>21500</v>
      </c>
    </row>
    <row r="4032" spans="1:17" ht="11.85" customHeight="1" x14ac:dyDescent="0.2">
      <c r="L4032" s="9"/>
      <c r="N4032" s="9"/>
      <c r="P4032" s="9"/>
    </row>
    <row r="4033" spans="1:21" ht="11.85" customHeight="1" x14ac:dyDescent="0.2">
      <c r="A4033" s="10" t="s">
        <v>244</v>
      </c>
      <c r="L4033" s="9"/>
      <c r="N4033" s="9"/>
      <c r="P4033" s="9"/>
    </row>
    <row r="4034" spans="1:21" ht="11.85" customHeight="1" x14ac:dyDescent="0.2">
      <c r="A4034" s="3" t="s">
        <v>1626</v>
      </c>
      <c r="C4034" s="12">
        <v>115373.3</v>
      </c>
      <c r="E4034" s="12">
        <v>0</v>
      </c>
      <c r="G4034" s="12">
        <v>0</v>
      </c>
      <c r="I4034" s="12">
        <v>0</v>
      </c>
      <c r="K4034" s="12">
        <v>0</v>
      </c>
      <c r="L4034" s="9"/>
      <c r="M4034" s="12">
        <v>0</v>
      </c>
      <c r="N4034" s="9"/>
      <c r="O4034" s="12">
        <v>0</v>
      </c>
      <c r="P4034" s="9"/>
      <c r="Q4034" s="12">
        <f>M4034+O4034</f>
        <v>0</v>
      </c>
    </row>
    <row r="4035" spans="1:21" ht="11.85" hidden="1" customHeight="1" x14ac:dyDescent="0.2">
      <c r="A4035" s="3" t="s">
        <v>1627</v>
      </c>
      <c r="C4035" s="12">
        <v>0</v>
      </c>
      <c r="E4035" s="12">
        <v>0</v>
      </c>
      <c r="G4035" s="12">
        <v>0</v>
      </c>
      <c r="I4035" s="12">
        <v>0</v>
      </c>
      <c r="K4035" s="12">
        <v>0</v>
      </c>
      <c r="L4035" s="9"/>
      <c r="M4035" s="12">
        <v>0</v>
      </c>
      <c r="N4035" s="9"/>
      <c r="O4035" s="12">
        <v>0</v>
      </c>
      <c r="P4035" s="9"/>
      <c r="Q4035" s="12">
        <f>M4035+O4035</f>
        <v>0</v>
      </c>
    </row>
    <row r="4036" spans="1:21" ht="11.85" customHeight="1" x14ac:dyDescent="0.2">
      <c r="A4036" s="3" t="s">
        <v>258</v>
      </c>
      <c r="C4036" s="2">
        <f>SUM(C4034:C4035)</f>
        <v>115373.3</v>
      </c>
      <c r="E4036" s="2">
        <f>SUM(E4034:E4035)</f>
        <v>0</v>
      </c>
      <c r="G4036" s="2">
        <f>SUM(G4034:G4035)</f>
        <v>0</v>
      </c>
      <c r="I4036" s="2">
        <f>SUM(I4034:I4035)</f>
        <v>0</v>
      </c>
      <c r="K4036" s="2">
        <f>SUM(K4034:K4035)</f>
        <v>0</v>
      </c>
      <c r="L4036" s="9"/>
      <c r="M4036" s="2">
        <f>SUM(M4034:M4035)</f>
        <v>0</v>
      </c>
      <c r="N4036" s="9"/>
      <c r="O4036" s="2">
        <f>SUM(O4034:O4035)</f>
        <v>0</v>
      </c>
      <c r="P4036" s="9"/>
      <c r="Q4036" s="2">
        <f>SUM(Q4034:Q4035)</f>
        <v>0</v>
      </c>
    </row>
    <row r="4037" spans="1:21" ht="11.85" customHeight="1" x14ac:dyDescent="0.2">
      <c r="L4037" s="9"/>
      <c r="N4037" s="9"/>
      <c r="P4037" s="9"/>
    </row>
    <row r="4038" spans="1:21" ht="11.85" customHeight="1" thickBot="1" x14ac:dyDescent="0.25">
      <c r="A4038" s="3" t="s">
        <v>270</v>
      </c>
      <c r="C4038" s="25">
        <f>C4020+C4031+C4036</f>
        <v>1272816.2799999998</v>
      </c>
      <c r="E4038" s="25">
        <f>E4020+E4031+E4036</f>
        <v>1371477.4999999998</v>
      </c>
      <c r="G4038" s="25">
        <f>G4020+G4031+G4036</f>
        <v>1197638.98</v>
      </c>
      <c r="I4038" s="25">
        <f>I4020+I4031+I4036</f>
        <v>1263500</v>
      </c>
      <c r="K4038" s="25">
        <f>K4020+K4031+K4036</f>
        <v>1276500</v>
      </c>
      <c r="L4038" s="9"/>
      <c r="M4038" s="25">
        <f>M4020+M4031+M4036</f>
        <v>1163000</v>
      </c>
      <c r="N4038" s="9"/>
      <c r="O4038" s="25">
        <f>O4020+O4031+O4036</f>
        <v>0</v>
      </c>
      <c r="P4038" s="9"/>
      <c r="Q4038" s="25">
        <f>Q4020+Q4031+Q4036</f>
        <v>1163000</v>
      </c>
      <c r="R4038" s="9"/>
      <c r="U4038" s="9"/>
    </row>
    <row r="4039" spans="1:21" ht="11.85" customHeight="1" thickTop="1" x14ac:dyDescent="0.2">
      <c r="L4039" s="9"/>
      <c r="N4039" s="9"/>
      <c r="P4039" s="9"/>
    </row>
    <row r="4040" spans="1:21" ht="11.85" customHeight="1" x14ac:dyDescent="0.2">
      <c r="L4040" s="9"/>
      <c r="N4040" s="9"/>
      <c r="P4040" s="9"/>
    </row>
    <row r="4041" spans="1:21" ht="11.85" customHeight="1" x14ac:dyDescent="0.2">
      <c r="A4041" s="3" t="s">
        <v>271</v>
      </c>
      <c r="C4041" s="2">
        <f>C4008+C4038</f>
        <v>1750876.5399999998</v>
      </c>
      <c r="E4041" s="2">
        <f>E4008+E4038</f>
        <v>1996735.4099999997</v>
      </c>
      <c r="G4041" s="2">
        <f>G4008+G4038</f>
        <v>1679592.0199999996</v>
      </c>
      <c r="I4041" s="2">
        <f>I4008+I4038</f>
        <v>1778562.3499999994</v>
      </c>
      <c r="K4041" s="2">
        <f>K4008+K4038</f>
        <v>1791562.3499999994</v>
      </c>
      <c r="L4041" s="9"/>
      <c r="M4041" s="2">
        <f>M4008+M4038</f>
        <v>1637540.3499999994</v>
      </c>
      <c r="N4041" s="9"/>
      <c r="P4041" s="9"/>
      <c r="Q4041" s="2">
        <f>Q4008+Q4038</f>
        <v>1637540.3499999994</v>
      </c>
      <c r="U4041" s="9"/>
    </row>
    <row r="4042" spans="1:21" ht="11.85" customHeight="1" x14ac:dyDescent="0.2"/>
    <row r="4043" spans="1:21" ht="11.85" customHeight="1" x14ac:dyDescent="0.2"/>
    <row r="4044" spans="1:21" ht="11.85" customHeight="1" x14ac:dyDescent="0.2"/>
    <row r="4045" spans="1:21" ht="11.85" customHeight="1" x14ac:dyDescent="0.2"/>
    <row r="4046" spans="1:21" ht="11.85" customHeight="1" x14ac:dyDescent="0.2"/>
    <row r="4047" spans="1:21" ht="11.85" customHeight="1" x14ac:dyDescent="0.2"/>
    <row r="4048" spans="1:21" ht="11.85" customHeight="1" x14ac:dyDescent="0.2"/>
    <row r="4049" spans="1:5" ht="11.85" customHeight="1" x14ac:dyDescent="0.2"/>
    <row r="4050" spans="1:5" ht="11.85" customHeight="1" x14ac:dyDescent="0.2"/>
    <row r="4051" spans="1:5" ht="11.85" customHeight="1" x14ac:dyDescent="0.2"/>
    <row r="4052" spans="1:5" ht="11.85" customHeight="1" x14ac:dyDescent="0.2"/>
    <row r="4053" spans="1:5" ht="11.85" customHeight="1" x14ac:dyDescent="0.2"/>
    <row r="4054" spans="1:5" ht="11.85" customHeight="1" x14ac:dyDescent="0.2"/>
    <row r="4055" spans="1:5" ht="11.85" customHeight="1" x14ac:dyDescent="0.2"/>
    <row r="4056" spans="1:5" ht="11.85" customHeight="1" x14ac:dyDescent="0.2"/>
    <row r="4057" spans="1:5" ht="11.85" customHeight="1" x14ac:dyDescent="0.2"/>
    <row r="4058" spans="1:5" ht="11.85" customHeight="1" x14ac:dyDescent="0.2"/>
    <row r="4059" spans="1:5" ht="11.85" customHeight="1" x14ac:dyDescent="0.2"/>
    <row r="4060" spans="1:5" ht="11.85" customHeight="1" x14ac:dyDescent="0.2"/>
    <row r="4061" spans="1:5" ht="11.85" customHeight="1" x14ac:dyDescent="0.2">
      <c r="A4061" s="1"/>
      <c r="B4061" s="1"/>
      <c r="E4061" s="2" t="str">
        <f>$E$1</f>
        <v>CITY OF BRADY</v>
      </c>
    </row>
    <row r="4062" spans="1:5" ht="11.85" customHeight="1" x14ac:dyDescent="0.2">
      <c r="E4062" s="2" t="str">
        <f>$E$2</f>
        <v>BUDGET REPORT</v>
      </c>
    </row>
    <row r="4063" spans="1:5" ht="11.85" customHeight="1" x14ac:dyDescent="0.2">
      <c r="E4063" s="2" t="str">
        <f>$E$3</f>
        <v>FISCAL YEAR 2024 - 2025</v>
      </c>
    </row>
    <row r="4064" spans="1:5" ht="11.85" customHeight="1" x14ac:dyDescent="0.2">
      <c r="A4064" s="3" t="s">
        <v>1608</v>
      </c>
    </row>
    <row r="4065" spans="1:20" ht="11.85" customHeight="1" x14ac:dyDescent="0.2">
      <c r="A4065" s="3" t="s">
        <v>1628</v>
      </c>
    </row>
    <row r="4066" spans="1:20" ht="11.85" customHeight="1" x14ac:dyDescent="0.2">
      <c r="I4066" s="53" t="str">
        <f>$I$6</f>
        <v>(----- 2023-2024------)</v>
      </c>
      <c r="J4066" s="53"/>
      <c r="K4066" s="53"/>
      <c r="L4066" s="6"/>
      <c r="M4066" s="54" t="str">
        <f>$M$6</f>
        <v>2024-2025</v>
      </c>
      <c r="N4066" s="54"/>
      <c r="O4066" s="54"/>
      <c r="P4066" s="54"/>
      <c r="Q4066" s="54"/>
    </row>
    <row r="4067" spans="1:20" ht="11.85" customHeight="1" x14ac:dyDescent="0.2">
      <c r="C4067" s="5" t="str">
        <f>$C$7</f>
        <v>2020-2021</v>
      </c>
      <c r="D4067" s="5"/>
      <c r="E4067" s="5" t="str">
        <f>$E$7</f>
        <v>2021-2022</v>
      </c>
      <c r="F4067" s="5"/>
      <c r="G4067" s="5" t="str">
        <f>$G$7</f>
        <v>2022-2023</v>
      </c>
      <c r="H4067" s="5"/>
      <c r="I4067" s="5" t="s">
        <v>9</v>
      </c>
      <c r="J4067" s="5"/>
      <c r="K4067" s="5" t="str">
        <f>+$K$7</f>
        <v>PROJECTED</v>
      </c>
      <c r="L4067" s="6"/>
      <c r="M4067" s="5">
        <f>$M$7</f>
        <v>0</v>
      </c>
      <c r="N4067" s="6"/>
      <c r="O4067" s="5" t="str">
        <f>$O$7</f>
        <v>2024-2025</v>
      </c>
      <c r="P4067" s="6"/>
      <c r="Q4067" s="5" t="str">
        <f>$Q$7</f>
        <v>APPROVED</v>
      </c>
    </row>
    <row r="4068" spans="1:20" ht="11.85" customHeight="1" x14ac:dyDescent="0.2">
      <c r="A4068" s="7" t="s">
        <v>273</v>
      </c>
      <c r="C4068" s="8" t="s">
        <v>12</v>
      </c>
      <c r="D4068" s="5"/>
      <c r="E4068" s="8" t="s">
        <v>12</v>
      </c>
      <c r="F4068" s="5"/>
      <c r="G4068" s="8" t="s">
        <v>12</v>
      </c>
      <c r="H4068" s="5"/>
      <c r="I4068" s="8" t="s">
        <v>13</v>
      </c>
      <c r="J4068" s="5"/>
      <c r="K4068" s="8" t="s">
        <v>13</v>
      </c>
      <c r="L4068" s="6"/>
      <c r="M4068" s="8" t="str">
        <f>$M$8</f>
        <v>BASE</v>
      </c>
      <c r="N4068" s="6"/>
      <c r="O4068" s="8" t="str">
        <f>$O$8</f>
        <v>SUPPLEMENTAL</v>
      </c>
      <c r="P4068" s="6"/>
      <c r="Q4068" s="8" t="str">
        <f>$Q$8</f>
        <v>BUDGET</v>
      </c>
    </row>
    <row r="4069" spans="1:20" ht="11.85" customHeight="1" x14ac:dyDescent="0.2"/>
    <row r="4070" spans="1:20" ht="11.85" customHeight="1" x14ac:dyDescent="0.2">
      <c r="A4070" s="10" t="s">
        <v>274</v>
      </c>
      <c r="T4070" s="47"/>
    </row>
    <row r="4071" spans="1:20" ht="11.85" customHeight="1" x14ac:dyDescent="0.2">
      <c r="A4071" s="3" t="s">
        <v>1629</v>
      </c>
      <c r="C4071" s="2">
        <v>181730.44</v>
      </c>
      <c r="E4071" s="2">
        <v>181915.66</v>
      </c>
      <c r="G4071" s="2">
        <v>223943.06</v>
      </c>
      <c r="I4071" s="2">
        <v>237456</v>
      </c>
      <c r="K4071" s="2">
        <v>237456</v>
      </c>
      <c r="L4071" s="9"/>
      <c r="M4071" s="2">
        <v>243548</v>
      </c>
      <c r="N4071" s="9"/>
      <c r="O4071" s="2">
        <v>0</v>
      </c>
      <c r="P4071" s="9"/>
      <c r="Q4071" s="2">
        <f t="shared" ref="Q4071:Q4080" si="113">M4071+O4071</f>
        <v>243548</v>
      </c>
      <c r="T4071" s="47"/>
    </row>
    <row r="4072" spans="1:20" ht="11.85" customHeight="1" x14ac:dyDescent="0.2">
      <c r="A4072" s="3" t="s">
        <v>1630</v>
      </c>
      <c r="C4072" s="2">
        <v>4687.16</v>
      </c>
      <c r="E4072" s="2">
        <v>5235.24</v>
      </c>
      <c r="G4072" s="2">
        <v>4016.72</v>
      </c>
      <c r="I4072" s="2">
        <v>5500</v>
      </c>
      <c r="K4072" s="2">
        <f>5500+1400</f>
        <v>6900</v>
      </c>
      <c r="L4072" s="9"/>
      <c r="M4072" s="2">
        <v>5500</v>
      </c>
      <c r="N4072" s="9"/>
      <c r="O4072" s="2">
        <v>0</v>
      </c>
      <c r="P4072" s="9"/>
      <c r="Q4072" s="2">
        <f t="shared" si="113"/>
        <v>5500</v>
      </c>
      <c r="T4072" s="47"/>
    </row>
    <row r="4073" spans="1:20" ht="11.85" customHeight="1" x14ac:dyDescent="0.2">
      <c r="A4073" s="3" t="s">
        <v>1631</v>
      </c>
      <c r="C4073" s="2">
        <v>3525</v>
      </c>
      <c r="E4073" s="2">
        <v>2700</v>
      </c>
      <c r="G4073" s="2">
        <v>3225</v>
      </c>
      <c r="I4073" s="2">
        <v>5400</v>
      </c>
      <c r="K4073" s="2">
        <v>5400</v>
      </c>
      <c r="L4073" s="9"/>
      <c r="M4073" s="2">
        <v>6000</v>
      </c>
      <c r="N4073" s="9"/>
      <c r="O4073" s="2">
        <v>0</v>
      </c>
      <c r="P4073" s="9"/>
      <c r="Q4073" s="2">
        <f t="shared" si="113"/>
        <v>6000</v>
      </c>
      <c r="T4073" s="47"/>
    </row>
    <row r="4074" spans="1:20" ht="11.85" customHeight="1" x14ac:dyDescent="0.2">
      <c r="A4074" s="3" t="s">
        <v>1632</v>
      </c>
      <c r="C4074" s="2">
        <v>3780</v>
      </c>
      <c r="E4074" s="2">
        <v>3640</v>
      </c>
      <c r="G4074" s="2">
        <v>10840</v>
      </c>
      <c r="I4074" s="2">
        <v>10950</v>
      </c>
      <c r="K4074" s="2">
        <v>10950</v>
      </c>
      <c r="L4074" s="9"/>
      <c r="M4074" s="2">
        <v>10950</v>
      </c>
      <c r="N4074" s="9"/>
      <c r="O4074" s="2">
        <v>0</v>
      </c>
      <c r="P4074" s="9"/>
      <c r="Q4074" s="2">
        <f t="shared" si="113"/>
        <v>10950</v>
      </c>
      <c r="T4074" s="47"/>
    </row>
    <row r="4075" spans="1:20" ht="11.85" customHeight="1" x14ac:dyDescent="0.2">
      <c r="A4075" s="3" t="s">
        <v>1633</v>
      </c>
      <c r="C4075" s="2">
        <v>0</v>
      </c>
      <c r="E4075" s="2">
        <v>0</v>
      </c>
      <c r="G4075" s="2">
        <v>0</v>
      </c>
      <c r="I4075" s="2">
        <v>300</v>
      </c>
      <c r="K4075" s="2">
        <v>300</v>
      </c>
      <c r="L4075" s="9"/>
      <c r="M4075" s="2">
        <v>300</v>
      </c>
      <c r="N4075" s="9"/>
      <c r="O4075" s="2">
        <v>0</v>
      </c>
      <c r="P4075" s="9"/>
      <c r="Q4075" s="2">
        <f>+M4075+O4075</f>
        <v>300</v>
      </c>
      <c r="T4075" s="47"/>
    </row>
    <row r="4076" spans="1:20" ht="11.85" customHeight="1" x14ac:dyDescent="0.2">
      <c r="A4076" s="3" t="s">
        <v>1634</v>
      </c>
      <c r="C4076" s="2">
        <v>58728.38</v>
      </c>
      <c r="E4076" s="2">
        <v>49481.36</v>
      </c>
      <c r="G4076" s="2">
        <v>53378.66</v>
      </c>
      <c r="I4076" s="2">
        <v>68760</v>
      </c>
      <c r="K4076" s="2">
        <f>68760-1400</f>
        <v>67360</v>
      </c>
      <c r="L4076" s="9"/>
      <c r="M4076" s="2">
        <v>60849</v>
      </c>
      <c r="N4076" s="9"/>
      <c r="O4076" s="2">
        <v>0</v>
      </c>
      <c r="P4076" s="9"/>
      <c r="Q4076" s="2">
        <f t="shared" si="113"/>
        <v>60849</v>
      </c>
      <c r="T4076" s="47"/>
    </row>
    <row r="4077" spans="1:20" ht="11.85" customHeight="1" x14ac:dyDescent="0.2">
      <c r="A4077" s="3" t="s">
        <v>1635</v>
      </c>
      <c r="C4077" s="2">
        <v>19334.16</v>
      </c>
      <c r="E4077" s="2">
        <v>18663.16</v>
      </c>
      <c r="G4077" s="2">
        <v>23590.22</v>
      </c>
      <c r="I4077" s="2">
        <v>24192</v>
      </c>
      <c r="K4077" s="2">
        <v>24192</v>
      </c>
      <c r="L4077" s="9"/>
      <c r="M4077" s="2">
        <v>24189</v>
      </c>
      <c r="N4077" s="9"/>
      <c r="O4077" s="2">
        <v>0</v>
      </c>
      <c r="P4077" s="9"/>
      <c r="Q4077" s="2">
        <f t="shared" si="113"/>
        <v>24189</v>
      </c>
      <c r="T4077" s="47"/>
    </row>
    <row r="4078" spans="1:20" ht="11.85" customHeight="1" x14ac:dyDescent="0.2">
      <c r="A4078" s="3" t="s">
        <v>1636</v>
      </c>
      <c r="C4078" s="2">
        <v>2214.56</v>
      </c>
      <c r="E4078" s="2">
        <v>2499.1</v>
      </c>
      <c r="G4078" s="2">
        <v>3551.46</v>
      </c>
      <c r="I4078" s="2">
        <v>4021</v>
      </c>
      <c r="K4078" s="2">
        <v>4021</v>
      </c>
      <c r="L4078" s="9"/>
      <c r="M4078" s="2">
        <v>2968</v>
      </c>
      <c r="N4078" s="9"/>
      <c r="O4078" s="2">
        <v>0</v>
      </c>
      <c r="P4078" s="9"/>
      <c r="Q4078" s="2">
        <f t="shared" si="113"/>
        <v>2968</v>
      </c>
      <c r="T4078" s="47"/>
    </row>
    <row r="4079" spans="1:20" ht="11.85" customHeight="1" x14ac:dyDescent="0.2">
      <c r="A4079" s="3" t="s">
        <v>1637</v>
      </c>
      <c r="C4079" s="2">
        <v>1371.37</v>
      </c>
      <c r="E4079" s="2">
        <v>50.47</v>
      </c>
      <c r="G4079" s="2">
        <v>43.68</v>
      </c>
      <c r="I4079" s="2">
        <v>502</v>
      </c>
      <c r="K4079" s="2">
        <v>502</v>
      </c>
      <c r="L4079" s="9"/>
      <c r="M4079" s="2">
        <v>540</v>
      </c>
      <c r="N4079" s="9"/>
      <c r="O4079" s="2">
        <v>0</v>
      </c>
      <c r="P4079" s="9"/>
      <c r="Q4079" s="2">
        <f t="shared" si="113"/>
        <v>540</v>
      </c>
      <c r="T4079" s="47"/>
    </row>
    <row r="4080" spans="1:20" ht="11.85" customHeight="1" x14ac:dyDescent="0.2">
      <c r="A4080" s="3" t="s">
        <v>1638</v>
      </c>
      <c r="C4080" s="12">
        <v>14250.2</v>
      </c>
      <c r="E4080" s="12">
        <v>15275.61</v>
      </c>
      <c r="G4080" s="12">
        <v>18518.23</v>
      </c>
      <c r="I4080" s="12">
        <v>18951</v>
      </c>
      <c r="K4080" s="12">
        <v>18951</v>
      </c>
      <c r="L4080" s="9"/>
      <c r="M4080" s="12">
        <v>19426</v>
      </c>
      <c r="N4080" s="9"/>
      <c r="O4080" s="12">
        <v>0</v>
      </c>
      <c r="P4080" s="9"/>
      <c r="Q4080" s="12">
        <f t="shared" si="113"/>
        <v>19426</v>
      </c>
      <c r="T4080" s="47"/>
    </row>
    <row r="4081" spans="1:21" ht="11.85" customHeight="1" x14ac:dyDescent="0.2">
      <c r="A4081" s="3" t="s">
        <v>285</v>
      </c>
      <c r="C4081" s="2">
        <f>SUM(C4071:C4080)</f>
        <v>289621.27</v>
      </c>
      <c r="E4081" s="2">
        <f>SUM(E4071:E4080)</f>
        <v>279460.59999999998</v>
      </c>
      <c r="G4081" s="2">
        <f>SUM(G4071:G4080)</f>
        <v>341107.03</v>
      </c>
      <c r="I4081" s="2">
        <f>SUM(I4071:I4080)</f>
        <v>376032</v>
      </c>
      <c r="K4081" s="2">
        <f>SUM(K4071:K4080)</f>
        <v>376032</v>
      </c>
      <c r="L4081" s="9"/>
      <c r="M4081" s="2">
        <f>SUM(M4071:M4080)</f>
        <v>374270</v>
      </c>
      <c r="N4081" s="9"/>
      <c r="O4081" s="2">
        <f>SUM(O4071:O4080)</f>
        <v>0</v>
      </c>
      <c r="P4081" s="9"/>
      <c r="Q4081" s="2">
        <f>SUM(Q4071:Q4080)</f>
        <v>374270</v>
      </c>
      <c r="R4081" s="9"/>
      <c r="T4081" s="47"/>
      <c r="U4081" s="9"/>
    </row>
    <row r="4082" spans="1:21" ht="11.85" customHeight="1" x14ac:dyDescent="0.2">
      <c r="L4082" s="9"/>
      <c r="N4082" s="9"/>
      <c r="P4082" s="9"/>
      <c r="T4082" s="47"/>
    </row>
    <row r="4083" spans="1:21" ht="11.85" customHeight="1" x14ac:dyDescent="0.2">
      <c r="A4083" s="10" t="s">
        <v>286</v>
      </c>
      <c r="L4083" s="9"/>
      <c r="N4083" s="9"/>
      <c r="P4083" s="9"/>
      <c r="T4083" s="47"/>
    </row>
    <row r="4084" spans="1:21" ht="11.85" customHeight="1" x14ac:dyDescent="0.2">
      <c r="A4084" s="3" t="s">
        <v>1639</v>
      </c>
      <c r="C4084" s="2">
        <v>0</v>
      </c>
      <c r="E4084" s="2">
        <v>0</v>
      </c>
      <c r="G4084" s="2">
        <v>0</v>
      </c>
      <c r="I4084" s="2">
        <v>0</v>
      </c>
      <c r="K4084" s="2">
        <v>0</v>
      </c>
      <c r="L4084" s="9"/>
      <c r="M4084" s="2">
        <v>0</v>
      </c>
      <c r="N4084" s="9"/>
      <c r="O4084" s="2">
        <v>0</v>
      </c>
      <c r="P4084" s="9"/>
      <c r="Q4084" s="2">
        <f t="shared" ref="Q4084:Q4098" si="114">M4084+O4084</f>
        <v>0</v>
      </c>
      <c r="T4084" s="47"/>
    </row>
    <row r="4085" spans="1:21" ht="11.85" customHeight="1" x14ac:dyDescent="0.2">
      <c r="A4085" s="3" t="s">
        <v>1640</v>
      </c>
      <c r="C4085" s="2">
        <v>1444.27</v>
      </c>
      <c r="E4085" s="2">
        <v>1462.15</v>
      </c>
      <c r="G4085" s="2">
        <v>574.59</v>
      </c>
      <c r="I4085" s="2">
        <v>2000</v>
      </c>
      <c r="K4085" s="2">
        <v>2000</v>
      </c>
      <c r="L4085" s="9"/>
      <c r="M4085" s="2">
        <v>2000</v>
      </c>
      <c r="N4085" s="9"/>
      <c r="O4085" s="2">
        <v>0</v>
      </c>
      <c r="P4085" s="9"/>
      <c r="Q4085" s="2">
        <f t="shared" si="114"/>
        <v>2000</v>
      </c>
      <c r="T4085" s="47"/>
    </row>
    <row r="4086" spans="1:21" ht="11.85" customHeight="1" x14ac:dyDescent="0.2">
      <c r="A4086" s="3" t="s">
        <v>1641</v>
      </c>
      <c r="C4086" s="2">
        <v>9872.66</v>
      </c>
      <c r="E4086" s="2">
        <v>10632.33</v>
      </c>
      <c r="G4086" s="2">
        <v>12530</v>
      </c>
      <c r="I4086" s="2">
        <v>13000</v>
      </c>
      <c r="K4086" s="2">
        <v>13000</v>
      </c>
      <c r="L4086" s="9"/>
      <c r="M4086" s="2">
        <v>48000</v>
      </c>
      <c r="N4086" s="9"/>
      <c r="O4086" s="2">
        <v>0</v>
      </c>
      <c r="P4086" s="9"/>
      <c r="Q4086" s="2">
        <f t="shared" si="114"/>
        <v>48000</v>
      </c>
      <c r="T4086" s="47"/>
    </row>
    <row r="4087" spans="1:21" ht="11.85" customHeight="1" x14ac:dyDescent="0.2">
      <c r="A4087" s="3" t="s">
        <v>1642</v>
      </c>
      <c r="C4087" s="2">
        <v>3197.5</v>
      </c>
      <c r="E4087" s="2">
        <v>3551.74</v>
      </c>
      <c r="G4087" s="2">
        <v>4241</v>
      </c>
      <c r="I4087" s="2">
        <v>4000</v>
      </c>
      <c r="K4087" s="2">
        <v>4000</v>
      </c>
      <c r="L4087" s="9"/>
      <c r="M4087" s="2">
        <v>4000</v>
      </c>
      <c r="N4087" s="9"/>
      <c r="O4087" s="2">
        <v>0</v>
      </c>
      <c r="P4087" s="9"/>
      <c r="Q4087" s="2">
        <f t="shared" si="114"/>
        <v>4000</v>
      </c>
      <c r="T4087" s="47"/>
    </row>
    <row r="4088" spans="1:21" ht="11.85" customHeight="1" x14ac:dyDescent="0.2">
      <c r="A4088" s="3" t="s">
        <v>1643</v>
      </c>
      <c r="C4088" s="2">
        <v>24856.19</v>
      </c>
      <c r="E4088" s="2">
        <v>15447.14</v>
      </c>
      <c r="G4088" s="2">
        <v>17645.93</v>
      </c>
      <c r="I4088" s="2">
        <v>36250</v>
      </c>
      <c r="K4088" s="2">
        <v>36250</v>
      </c>
      <c r="L4088" s="9"/>
      <c r="M4088" s="2">
        <v>37200</v>
      </c>
      <c r="N4088" s="9"/>
      <c r="O4088" s="2">
        <v>0</v>
      </c>
      <c r="P4088" s="9"/>
      <c r="Q4088" s="2">
        <f t="shared" si="114"/>
        <v>37200</v>
      </c>
      <c r="T4088" s="47"/>
    </row>
    <row r="4089" spans="1:21" ht="11.85" hidden="1" customHeight="1" x14ac:dyDescent="0.2">
      <c r="A4089" s="3" t="s">
        <v>1644</v>
      </c>
      <c r="C4089" s="2">
        <v>0</v>
      </c>
      <c r="E4089" s="2">
        <v>0</v>
      </c>
      <c r="G4089" s="2">
        <v>0</v>
      </c>
      <c r="I4089" s="2">
        <v>0</v>
      </c>
      <c r="K4089" s="2">
        <v>0</v>
      </c>
      <c r="L4089" s="9"/>
      <c r="M4089" s="2">
        <v>0</v>
      </c>
      <c r="N4089" s="9"/>
      <c r="O4089" s="2">
        <v>0</v>
      </c>
      <c r="P4089" s="9"/>
      <c r="Q4089" s="2">
        <f t="shared" si="114"/>
        <v>0</v>
      </c>
      <c r="T4089" s="47"/>
    </row>
    <row r="4090" spans="1:21" ht="11.85" hidden="1" customHeight="1" x14ac:dyDescent="0.2">
      <c r="A4090" s="3" t="s">
        <v>1645</v>
      </c>
      <c r="C4090" s="2">
        <v>0</v>
      </c>
      <c r="E4090" s="2">
        <v>0</v>
      </c>
      <c r="G4090" s="2">
        <v>0</v>
      </c>
      <c r="I4090" s="2">
        <v>0</v>
      </c>
      <c r="K4090" s="2">
        <v>0</v>
      </c>
      <c r="L4090" s="9"/>
      <c r="M4090" s="2">
        <v>0</v>
      </c>
      <c r="N4090" s="9"/>
      <c r="O4090" s="2">
        <v>0</v>
      </c>
      <c r="P4090" s="9"/>
      <c r="Q4090" s="2">
        <f t="shared" si="114"/>
        <v>0</v>
      </c>
      <c r="T4090" s="47"/>
    </row>
    <row r="4091" spans="1:21" ht="11.85" customHeight="1" x14ac:dyDescent="0.2">
      <c r="A4091" s="3" t="s">
        <v>1646</v>
      </c>
      <c r="C4091" s="2">
        <v>125</v>
      </c>
      <c r="E4091" s="2">
        <v>0</v>
      </c>
      <c r="G4091" s="2">
        <v>601.70000000000005</v>
      </c>
      <c r="I4091" s="2">
        <v>500</v>
      </c>
      <c r="K4091" s="2">
        <v>500</v>
      </c>
      <c r="L4091" s="9"/>
      <c r="M4091" s="2">
        <v>500</v>
      </c>
      <c r="N4091" s="9"/>
      <c r="O4091" s="2">
        <v>0</v>
      </c>
      <c r="P4091" s="9"/>
      <c r="Q4091" s="2">
        <f t="shared" si="114"/>
        <v>500</v>
      </c>
      <c r="T4091" s="47"/>
    </row>
    <row r="4092" spans="1:21" ht="11.85" customHeight="1" x14ac:dyDescent="0.2">
      <c r="A4092" s="3" t="s">
        <v>1647</v>
      </c>
      <c r="C4092" s="2">
        <v>2375</v>
      </c>
      <c r="E4092" s="2">
        <v>6075</v>
      </c>
      <c r="G4092" s="2">
        <v>7065</v>
      </c>
      <c r="I4092" s="2">
        <v>12000</v>
      </c>
      <c r="K4092" s="2">
        <v>12000</v>
      </c>
      <c r="L4092" s="9"/>
      <c r="M4092" s="2">
        <v>12000</v>
      </c>
      <c r="N4092" s="9"/>
      <c r="O4092" s="2">
        <v>0</v>
      </c>
      <c r="P4092" s="9"/>
      <c r="Q4092" s="2">
        <f t="shared" si="114"/>
        <v>12000</v>
      </c>
      <c r="T4092" s="47"/>
    </row>
    <row r="4093" spans="1:21" ht="11.85" customHeight="1" x14ac:dyDescent="0.2">
      <c r="A4093" s="3" t="s">
        <v>1648</v>
      </c>
      <c r="C4093" s="2">
        <v>658.35</v>
      </c>
      <c r="E4093" s="2">
        <v>673.34</v>
      </c>
      <c r="G4093" s="2">
        <v>999</v>
      </c>
      <c r="I4093" s="2">
        <v>840</v>
      </c>
      <c r="K4093" s="2">
        <v>840</v>
      </c>
      <c r="L4093" s="9"/>
      <c r="M4093" s="2">
        <v>1400</v>
      </c>
      <c r="N4093" s="9"/>
      <c r="O4093" s="2">
        <v>0</v>
      </c>
      <c r="P4093" s="9"/>
      <c r="Q4093" s="2">
        <f t="shared" si="114"/>
        <v>1400</v>
      </c>
      <c r="T4093" s="47"/>
    </row>
    <row r="4094" spans="1:21" ht="11.85" customHeight="1" x14ac:dyDescent="0.2">
      <c r="A4094" s="3" t="s">
        <v>1649</v>
      </c>
      <c r="C4094" s="2">
        <v>55.89</v>
      </c>
      <c r="E4094" s="2">
        <v>1956.43</v>
      </c>
      <c r="G4094" s="2">
        <v>0</v>
      </c>
      <c r="I4094" s="2">
        <v>1600</v>
      </c>
      <c r="K4094" s="2">
        <v>1600</v>
      </c>
      <c r="L4094" s="9"/>
      <c r="M4094" s="2">
        <v>0</v>
      </c>
      <c r="N4094" s="9"/>
      <c r="O4094" s="2">
        <v>0</v>
      </c>
      <c r="P4094" s="9"/>
      <c r="Q4094" s="2">
        <f t="shared" si="114"/>
        <v>0</v>
      </c>
      <c r="T4094" s="47"/>
    </row>
    <row r="4095" spans="1:21" ht="11.85" customHeight="1" x14ac:dyDescent="0.2">
      <c r="A4095" s="3" t="s">
        <v>1650</v>
      </c>
      <c r="C4095" s="2">
        <v>558947.35</v>
      </c>
      <c r="E4095" s="2">
        <v>753441.4</v>
      </c>
      <c r="G4095" s="2">
        <v>528470.4</v>
      </c>
      <c r="I4095" s="2">
        <v>600000</v>
      </c>
      <c r="K4095" s="2">
        <v>600000</v>
      </c>
      <c r="L4095" s="9"/>
      <c r="M4095" s="2">
        <v>500000</v>
      </c>
      <c r="N4095" s="9"/>
      <c r="O4095" s="2">
        <v>0</v>
      </c>
      <c r="P4095" s="9"/>
      <c r="Q4095" s="2">
        <f t="shared" si="114"/>
        <v>500000</v>
      </c>
      <c r="T4095" s="47"/>
      <c r="U4095" s="2"/>
    </row>
    <row r="4096" spans="1:21" ht="11.85" customHeight="1" x14ac:dyDescent="0.2">
      <c r="A4096" s="3" t="s">
        <v>1651</v>
      </c>
      <c r="C4096" s="9">
        <v>-32302.5</v>
      </c>
      <c r="D4096" s="9"/>
      <c r="E4096" s="9">
        <v>-30377.7</v>
      </c>
      <c r="F4096" s="9"/>
      <c r="G4096" s="9">
        <v>-29134.5</v>
      </c>
      <c r="H4096" s="9"/>
      <c r="I4096" s="9">
        <v>-24000</v>
      </c>
      <c r="J4096" s="9"/>
      <c r="K4096" s="9">
        <v>-24000</v>
      </c>
      <c r="L4096" s="9"/>
      <c r="M4096" s="9">
        <v>-27000</v>
      </c>
      <c r="N4096" s="9"/>
      <c r="O4096" s="9">
        <v>0</v>
      </c>
      <c r="P4096" s="9"/>
      <c r="Q4096" s="9">
        <f>M4096+O4096</f>
        <v>-27000</v>
      </c>
      <c r="T4096" s="47"/>
      <c r="U4096" s="2"/>
    </row>
    <row r="4097" spans="1:21" ht="11.85" customHeight="1" x14ac:dyDescent="0.2">
      <c r="A4097" s="3" t="s">
        <v>1652</v>
      </c>
      <c r="C4097" s="2">
        <v>56004</v>
      </c>
      <c r="E4097" s="2">
        <v>56004</v>
      </c>
      <c r="G4097" s="2">
        <v>59004</v>
      </c>
      <c r="I4097" s="2">
        <v>65000</v>
      </c>
      <c r="K4097" s="2">
        <v>65000</v>
      </c>
      <c r="L4097" s="9"/>
      <c r="M4097" s="2">
        <v>64000</v>
      </c>
      <c r="N4097" s="9"/>
      <c r="O4097" s="2">
        <v>0</v>
      </c>
      <c r="P4097" s="9"/>
      <c r="Q4097" s="2">
        <f>M4097+O4097</f>
        <v>64000</v>
      </c>
      <c r="T4097" s="47"/>
    </row>
    <row r="4098" spans="1:21" ht="11.85" customHeight="1" x14ac:dyDescent="0.2">
      <c r="A4098" s="3" t="s">
        <v>1653</v>
      </c>
      <c r="C4098" s="12">
        <v>48996</v>
      </c>
      <c r="E4098" s="12">
        <v>48996</v>
      </c>
      <c r="G4098" s="12">
        <v>44004</v>
      </c>
      <c r="I4098" s="12">
        <v>55000</v>
      </c>
      <c r="K4098" s="12">
        <v>55000</v>
      </c>
      <c r="L4098" s="9"/>
      <c r="M4098" s="27">
        <v>40000</v>
      </c>
      <c r="N4098" s="9"/>
      <c r="O4098" s="12">
        <v>0</v>
      </c>
      <c r="P4098" s="9"/>
      <c r="Q4098" s="27">
        <f t="shared" si="114"/>
        <v>40000</v>
      </c>
      <c r="T4098" s="47"/>
    </row>
    <row r="4099" spans="1:21" ht="11.85" customHeight="1" x14ac:dyDescent="0.2">
      <c r="A4099" s="3" t="s">
        <v>304</v>
      </c>
      <c r="C4099" s="2">
        <f>SUM(C4084:C4098)</f>
        <v>674229.71</v>
      </c>
      <c r="E4099" s="2">
        <f>SUM(E4084:E4098)</f>
        <v>867861.83000000007</v>
      </c>
      <c r="G4099" s="2">
        <f>SUM(G4084:G4098)</f>
        <v>646001.12</v>
      </c>
      <c r="I4099" s="2">
        <f>SUM(I4084:I4098)</f>
        <v>766190</v>
      </c>
      <c r="K4099" s="2">
        <f>SUM(K4084:K4098)</f>
        <v>766190</v>
      </c>
      <c r="L4099" s="9"/>
      <c r="M4099" s="2">
        <f>SUM(M4084:M4098)</f>
        <v>682100</v>
      </c>
      <c r="N4099" s="9"/>
      <c r="O4099" s="2">
        <f>SUM(O4084:O4098)</f>
        <v>0</v>
      </c>
      <c r="P4099" s="9"/>
      <c r="Q4099" s="2">
        <f>SUM(Q4084:Q4098)</f>
        <v>682100</v>
      </c>
      <c r="R4099" s="9"/>
      <c r="T4099" s="47"/>
      <c r="U4099" s="9"/>
    </row>
    <row r="4100" spans="1:21" ht="11.85" customHeight="1" x14ac:dyDescent="0.2">
      <c r="L4100" s="9"/>
      <c r="N4100" s="9"/>
      <c r="P4100" s="9"/>
      <c r="T4100" s="47"/>
    </row>
    <row r="4101" spans="1:21" ht="11.85" customHeight="1" x14ac:dyDescent="0.2">
      <c r="A4101" s="10" t="s">
        <v>305</v>
      </c>
      <c r="L4101" s="9"/>
      <c r="N4101" s="9"/>
      <c r="P4101" s="9"/>
      <c r="T4101" s="47"/>
    </row>
    <row r="4102" spans="1:21" ht="11.85" customHeight="1" x14ac:dyDescent="0.2">
      <c r="A4102" s="3" t="s">
        <v>1654</v>
      </c>
      <c r="C4102" s="2">
        <v>100.48</v>
      </c>
      <c r="E4102" s="2">
        <v>162.5</v>
      </c>
      <c r="G4102" s="2">
        <v>467.92</v>
      </c>
      <c r="I4102" s="2">
        <v>500</v>
      </c>
      <c r="K4102" s="2">
        <v>500</v>
      </c>
      <c r="L4102" s="9"/>
      <c r="M4102" s="2">
        <v>200</v>
      </c>
      <c r="N4102" s="9"/>
      <c r="O4102" s="2">
        <v>0</v>
      </c>
      <c r="P4102" s="9"/>
      <c r="Q4102" s="2">
        <f t="shared" ref="Q4102:Q4122" si="115">M4102+O4102</f>
        <v>200</v>
      </c>
      <c r="T4102" s="47"/>
    </row>
    <row r="4103" spans="1:21" ht="11.85" customHeight="1" x14ac:dyDescent="0.2">
      <c r="A4103" s="3" t="s">
        <v>1655</v>
      </c>
      <c r="C4103" s="2">
        <v>1107.04</v>
      </c>
      <c r="E4103" s="2">
        <v>612.72</v>
      </c>
      <c r="G4103" s="2">
        <v>632.11</v>
      </c>
      <c r="I4103" s="2">
        <v>800</v>
      </c>
      <c r="K4103" s="2">
        <v>800</v>
      </c>
      <c r="L4103" s="9"/>
      <c r="M4103" s="2">
        <v>800</v>
      </c>
      <c r="N4103" s="9"/>
      <c r="O4103" s="2">
        <v>0</v>
      </c>
      <c r="P4103" s="9"/>
      <c r="Q4103" s="2">
        <f t="shared" si="115"/>
        <v>800</v>
      </c>
      <c r="T4103" s="47"/>
    </row>
    <row r="4104" spans="1:21" ht="11.85" customHeight="1" x14ac:dyDescent="0.2">
      <c r="A4104" s="3" t="s">
        <v>1656</v>
      </c>
      <c r="C4104" s="2">
        <v>6964.47</v>
      </c>
      <c r="E4104" s="2">
        <v>5482.91</v>
      </c>
      <c r="G4104" s="2">
        <v>8061.86</v>
      </c>
      <c r="I4104" s="2">
        <v>8000</v>
      </c>
      <c r="K4104" s="2">
        <v>8000</v>
      </c>
      <c r="L4104" s="9"/>
      <c r="M4104" s="2">
        <v>8000</v>
      </c>
      <c r="N4104" s="9"/>
      <c r="O4104" s="2">
        <v>0</v>
      </c>
      <c r="P4104" s="9"/>
      <c r="Q4104" s="2">
        <f t="shared" si="115"/>
        <v>8000</v>
      </c>
      <c r="T4104" s="47"/>
    </row>
    <row r="4105" spans="1:21" ht="11.85" customHeight="1" x14ac:dyDescent="0.2">
      <c r="A4105" s="3" t="s">
        <v>1657</v>
      </c>
      <c r="C4105" s="2">
        <v>3178.89</v>
      </c>
      <c r="E4105" s="2">
        <v>5525.44</v>
      </c>
      <c r="G4105" s="2">
        <v>10227.66</v>
      </c>
      <c r="I4105" s="2">
        <v>40000</v>
      </c>
      <c r="K4105" s="2">
        <v>40000</v>
      </c>
      <c r="L4105" s="9"/>
      <c r="M4105" s="2">
        <v>4000</v>
      </c>
      <c r="N4105" s="9"/>
      <c r="O4105" s="2">
        <v>0</v>
      </c>
      <c r="P4105" s="9"/>
      <c r="Q4105" s="2">
        <f t="shared" si="115"/>
        <v>4000</v>
      </c>
      <c r="T4105" s="47"/>
    </row>
    <row r="4106" spans="1:21" ht="11.85" customHeight="1" x14ac:dyDescent="0.2">
      <c r="A4106" s="3" t="s">
        <v>1658</v>
      </c>
      <c r="C4106" s="2">
        <v>6363.62</v>
      </c>
      <c r="E4106" s="2">
        <v>9433.16</v>
      </c>
      <c r="G4106" s="2">
        <v>9385.6299999999992</v>
      </c>
      <c r="I4106" s="2">
        <v>10000</v>
      </c>
      <c r="K4106" s="2">
        <v>10000</v>
      </c>
      <c r="L4106" s="9"/>
      <c r="M4106" s="2">
        <v>10000</v>
      </c>
      <c r="N4106" s="9"/>
      <c r="O4106" s="2">
        <v>0</v>
      </c>
      <c r="P4106" s="9"/>
      <c r="Q4106" s="2">
        <f t="shared" si="115"/>
        <v>10000</v>
      </c>
      <c r="T4106" s="47"/>
    </row>
    <row r="4107" spans="1:21" ht="11.85" customHeight="1" x14ac:dyDescent="0.2">
      <c r="A4107" s="3" t="s">
        <v>1659</v>
      </c>
      <c r="C4107" s="2">
        <v>1704.29</v>
      </c>
      <c r="E4107" s="2">
        <v>2782.5</v>
      </c>
      <c r="G4107" s="2">
        <v>3221.39</v>
      </c>
      <c r="I4107" s="2">
        <v>5000</v>
      </c>
      <c r="K4107" s="2">
        <v>5000</v>
      </c>
      <c r="L4107" s="9"/>
      <c r="M4107" s="2">
        <v>5000</v>
      </c>
      <c r="N4107" s="9"/>
      <c r="O4107" s="2">
        <v>0</v>
      </c>
      <c r="P4107" s="9"/>
      <c r="Q4107" s="2">
        <f t="shared" si="115"/>
        <v>5000</v>
      </c>
      <c r="T4107" s="47"/>
    </row>
    <row r="4108" spans="1:21" ht="11.85" customHeight="1" x14ac:dyDescent="0.2">
      <c r="A4108" s="3" t="s">
        <v>1660</v>
      </c>
      <c r="C4108" s="2">
        <v>0</v>
      </c>
      <c r="E4108" s="2">
        <v>0</v>
      </c>
      <c r="G4108" s="2">
        <v>0</v>
      </c>
      <c r="I4108" s="2">
        <v>200</v>
      </c>
      <c r="K4108" s="2">
        <v>200</v>
      </c>
      <c r="L4108" s="9"/>
      <c r="M4108" s="2">
        <v>0</v>
      </c>
      <c r="N4108" s="9"/>
      <c r="O4108" s="2">
        <v>0</v>
      </c>
      <c r="P4108" s="9"/>
      <c r="Q4108" s="2">
        <f t="shared" si="115"/>
        <v>0</v>
      </c>
      <c r="T4108" s="47"/>
    </row>
    <row r="4109" spans="1:21" ht="11.85" customHeight="1" x14ac:dyDescent="0.2">
      <c r="A4109" s="3" t="s">
        <v>1661</v>
      </c>
      <c r="C4109" s="2">
        <v>0</v>
      </c>
      <c r="E4109" s="2">
        <v>0</v>
      </c>
      <c r="G4109" s="2">
        <v>0</v>
      </c>
      <c r="I4109" s="2">
        <v>0</v>
      </c>
      <c r="K4109" s="2">
        <v>0</v>
      </c>
      <c r="L4109" s="9"/>
      <c r="M4109" s="2">
        <v>0</v>
      </c>
      <c r="N4109" s="9"/>
      <c r="O4109" s="2">
        <v>0</v>
      </c>
      <c r="P4109" s="9"/>
      <c r="Q4109" s="2">
        <f t="shared" si="115"/>
        <v>0</v>
      </c>
      <c r="T4109" s="47"/>
    </row>
    <row r="4110" spans="1:21" ht="11.85" customHeight="1" x14ac:dyDescent="0.2">
      <c r="A4110" s="3" t="s">
        <v>1662</v>
      </c>
      <c r="C4110" s="2">
        <v>0</v>
      </c>
      <c r="E4110" s="2">
        <v>97.99</v>
      </c>
      <c r="G4110" s="2">
        <v>-27.99</v>
      </c>
      <c r="I4110" s="2">
        <v>200</v>
      </c>
      <c r="K4110" s="2">
        <v>200</v>
      </c>
      <c r="L4110" s="9"/>
      <c r="M4110" s="2">
        <v>0</v>
      </c>
      <c r="N4110" s="9"/>
      <c r="O4110" s="2">
        <v>0</v>
      </c>
      <c r="P4110" s="9"/>
      <c r="Q4110" s="2">
        <f t="shared" si="115"/>
        <v>0</v>
      </c>
      <c r="T4110" s="47"/>
    </row>
    <row r="4111" spans="1:21" ht="11.85" customHeight="1" x14ac:dyDescent="0.2">
      <c r="A4111" s="3" t="s">
        <v>1663</v>
      </c>
      <c r="C4111" s="2">
        <v>2049</v>
      </c>
      <c r="E4111" s="2">
        <v>2396.12</v>
      </c>
      <c r="G4111" s="2">
        <v>11986.27</v>
      </c>
      <c r="I4111" s="2">
        <v>4000</v>
      </c>
      <c r="K4111" s="2">
        <v>4000</v>
      </c>
      <c r="L4111" s="9"/>
      <c r="M4111" s="2">
        <v>4000</v>
      </c>
      <c r="N4111" s="9"/>
      <c r="O4111" s="2">
        <v>0</v>
      </c>
      <c r="P4111" s="9"/>
      <c r="Q4111" s="2">
        <f t="shared" si="115"/>
        <v>4000</v>
      </c>
      <c r="T4111" s="47"/>
    </row>
    <row r="4112" spans="1:21" ht="11.85" customHeight="1" x14ac:dyDescent="0.2">
      <c r="A4112" s="3" t="s">
        <v>1664</v>
      </c>
      <c r="C4112" s="2">
        <v>5384.43</v>
      </c>
      <c r="E4112" s="2">
        <v>5050.62</v>
      </c>
      <c r="G4112" s="2">
        <v>3024.48</v>
      </c>
      <c r="I4112" s="2">
        <v>5000</v>
      </c>
      <c r="K4112" s="2">
        <f>5000+2500</f>
        <v>7500</v>
      </c>
      <c r="L4112" s="9"/>
      <c r="M4112" s="2">
        <v>5000</v>
      </c>
      <c r="N4112" s="9"/>
      <c r="O4112" s="2">
        <v>0</v>
      </c>
      <c r="P4112" s="9"/>
      <c r="Q4112" s="2">
        <f t="shared" si="115"/>
        <v>5000</v>
      </c>
      <c r="T4112" s="47"/>
    </row>
    <row r="4113" spans="1:21" ht="11.85" customHeight="1" x14ac:dyDescent="0.2">
      <c r="A4113" s="3" t="s">
        <v>1665</v>
      </c>
      <c r="C4113" s="2">
        <v>27765.13</v>
      </c>
      <c r="E4113" s="2">
        <v>24173.9</v>
      </c>
      <c r="G4113" s="2">
        <v>31390.17</v>
      </c>
      <c r="I4113" s="2">
        <v>30000</v>
      </c>
      <c r="K4113" s="2">
        <f>30000-2500</f>
        <v>27500</v>
      </c>
      <c r="L4113" s="9"/>
      <c r="M4113" s="2">
        <v>30000</v>
      </c>
      <c r="N4113" s="9"/>
      <c r="O4113" s="2">
        <v>0</v>
      </c>
      <c r="P4113" s="9"/>
      <c r="Q4113" s="2">
        <f t="shared" si="115"/>
        <v>30000</v>
      </c>
      <c r="T4113" s="47"/>
    </row>
    <row r="4114" spans="1:21" ht="11.85" customHeight="1" x14ac:dyDescent="0.2">
      <c r="A4114" s="3" t="s">
        <v>1666</v>
      </c>
      <c r="C4114" s="2">
        <v>1666.69</v>
      </c>
      <c r="E4114" s="2">
        <v>1007.04</v>
      </c>
      <c r="G4114" s="2">
        <v>1138.48</v>
      </c>
      <c r="I4114" s="2">
        <v>1700</v>
      </c>
      <c r="K4114" s="2">
        <v>1700</v>
      </c>
      <c r="L4114" s="9"/>
      <c r="M4114" s="2">
        <v>1200</v>
      </c>
      <c r="N4114" s="9"/>
      <c r="O4114" s="2">
        <v>0</v>
      </c>
      <c r="P4114" s="9"/>
      <c r="Q4114" s="2">
        <f t="shared" si="115"/>
        <v>1200</v>
      </c>
      <c r="T4114" s="47"/>
    </row>
    <row r="4115" spans="1:21" ht="11.85" customHeight="1" x14ac:dyDescent="0.2">
      <c r="A4115" s="3" t="s">
        <v>1667</v>
      </c>
      <c r="C4115" s="2">
        <v>678.14</v>
      </c>
      <c r="E4115" s="2">
        <v>758.24</v>
      </c>
      <c r="G4115" s="2">
        <v>428.62</v>
      </c>
      <c r="I4115" s="2">
        <v>700</v>
      </c>
      <c r="K4115" s="2">
        <v>700</v>
      </c>
      <c r="L4115" s="9"/>
      <c r="M4115" s="2">
        <v>700</v>
      </c>
      <c r="N4115" s="9"/>
      <c r="O4115" s="2">
        <v>0</v>
      </c>
      <c r="P4115" s="9"/>
      <c r="Q4115" s="2">
        <f t="shared" si="115"/>
        <v>700</v>
      </c>
      <c r="T4115" s="47"/>
    </row>
    <row r="4116" spans="1:21" ht="11.85" hidden="1" customHeight="1" x14ac:dyDescent="0.2">
      <c r="A4116" s="3" t="s">
        <v>1668</v>
      </c>
      <c r="C4116" s="2">
        <v>0</v>
      </c>
      <c r="E4116" s="2">
        <v>0</v>
      </c>
      <c r="G4116" s="2">
        <v>0</v>
      </c>
      <c r="I4116" s="2">
        <v>0</v>
      </c>
      <c r="K4116" s="2">
        <v>0</v>
      </c>
      <c r="L4116" s="9"/>
      <c r="M4116" s="2">
        <v>0</v>
      </c>
      <c r="N4116" s="9"/>
      <c r="O4116" s="2">
        <v>0</v>
      </c>
      <c r="P4116" s="9"/>
      <c r="Q4116" s="2">
        <f t="shared" si="115"/>
        <v>0</v>
      </c>
      <c r="T4116" s="47"/>
    </row>
    <row r="4117" spans="1:21" ht="11.85" customHeight="1" x14ac:dyDescent="0.2">
      <c r="A4117" s="3" t="s">
        <v>1669</v>
      </c>
      <c r="C4117" s="2">
        <v>177.63</v>
      </c>
      <c r="E4117" s="2">
        <v>0</v>
      </c>
      <c r="G4117" s="2">
        <v>40.49</v>
      </c>
      <c r="I4117" s="2">
        <v>500</v>
      </c>
      <c r="K4117" s="2">
        <v>500</v>
      </c>
      <c r="L4117" s="9"/>
      <c r="M4117" s="2">
        <v>0</v>
      </c>
      <c r="N4117" s="9"/>
      <c r="O4117" s="2">
        <v>0</v>
      </c>
      <c r="P4117" s="9"/>
      <c r="Q4117" s="2">
        <f t="shared" si="115"/>
        <v>0</v>
      </c>
      <c r="T4117" s="47"/>
    </row>
    <row r="4118" spans="1:21" ht="11.85" customHeight="1" x14ac:dyDescent="0.2">
      <c r="A4118" s="3" t="s">
        <v>1670</v>
      </c>
      <c r="C4118" s="2">
        <v>3543.34</v>
      </c>
      <c r="E4118" s="2">
        <v>5843.87</v>
      </c>
      <c r="G4118" s="2">
        <v>5285.32</v>
      </c>
      <c r="I4118" s="2">
        <v>4400</v>
      </c>
      <c r="K4118" s="2">
        <v>4400</v>
      </c>
      <c r="L4118" s="9"/>
      <c r="M4118" s="2">
        <v>4400</v>
      </c>
      <c r="N4118" s="9"/>
      <c r="O4118" s="2">
        <v>0</v>
      </c>
      <c r="P4118" s="9"/>
      <c r="Q4118" s="2">
        <f t="shared" si="115"/>
        <v>4400</v>
      </c>
      <c r="T4118" s="47"/>
    </row>
    <row r="4119" spans="1:21" ht="11.85" customHeight="1" x14ac:dyDescent="0.2">
      <c r="A4119" s="3" t="s">
        <v>1671</v>
      </c>
      <c r="C4119" s="2">
        <v>0</v>
      </c>
      <c r="E4119" s="2">
        <v>0</v>
      </c>
      <c r="G4119" s="2">
        <v>0</v>
      </c>
      <c r="I4119" s="2">
        <v>500</v>
      </c>
      <c r="K4119" s="2">
        <v>500</v>
      </c>
      <c r="L4119" s="9"/>
      <c r="M4119" s="2">
        <v>0</v>
      </c>
      <c r="N4119" s="9"/>
      <c r="O4119" s="2">
        <v>0</v>
      </c>
      <c r="P4119" s="9"/>
      <c r="Q4119" s="2">
        <f t="shared" si="115"/>
        <v>0</v>
      </c>
      <c r="T4119" s="47"/>
    </row>
    <row r="4120" spans="1:21" ht="11.85" hidden="1" customHeight="1" x14ac:dyDescent="0.2">
      <c r="A4120" s="3" t="s">
        <v>1672</v>
      </c>
      <c r="C4120" s="2">
        <v>0</v>
      </c>
      <c r="E4120" s="2">
        <v>0</v>
      </c>
      <c r="G4120" s="2">
        <v>0</v>
      </c>
      <c r="I4120" s="2">
        <v>0</v>
      </c>
      <c r="K4120" s="2">
        <v>0</v>
      </c>
      <c r="L4120" s="9"/>
      <c r="M4120" s="2">
        <v>0</v>
      </c>
      <c r="N4120" s="9"/>
      <c r="O4120" s="2">
        <v>0</v>
      </c>
      <c r="P4120" s="9"/>
      <c r="Q4120" s="2">
        <f t="shared" si="115"/>
        <v>0</v>
      </c>
      <c r="T4120" s="47"/>
    </row>
    <row r="4121" spans="1:21" ht="11.85" customHeight="1" x14ac:dyDescent="0.2">
      <c r="A4121" s="3" t="s">
        <v>1673</v>
      </c>
      <c r="C4121" s="2">
        <v>3230.7</v>
      </c>
      <c r="E4121" s="2">
        <v>3505</v>
      </c>
      <c r="G4121" s="2">
        <v>3005</v>
      </c>
      <c r="I4121" s="2">
        <v>5000</v>
      </c>
      <c r="K4121" s="2">
        <v>5000</v>
      </c>
      <c r="L4121" s="9"/>
      <c r="M4121" s="2">
        <v>5000</v>
      </c>
      <c r="N4121" s="9"/>
      <c r="O4121" s="2">
        <v>0</v>
      </c>
      <c r="P4121" s="9"/>
      <c r="Q4121" s="2">
        <f t="shared" si="115"/>
        <v>5000</v>
      </c>
      <c r="T4121" s="47"/>
    </row>
    <row r="4122" spans="1:21" ht="11.85" customHeight="1" x14ac:dyDescent="0.2">
      <c r="A4122" s="3" t="s">
        <v>1674</v>
      </c>
      <c r="C4122" s="12">
        <v>5425.61</v>
      </c>
      <c r="E4122" s="12">
        <v>4830.6000000000004</v>
      </c>
      <c r="G4122" s="12">
        <v>2655.83</v>
      </c>
      <c r="I4122" s="12">
        <v>2100</v>
      </c>
      <c r="K4122" s="12">
        <v>2100</v>
      </c>
      <c r="L4122" s="9"/>
      <c r="M4122" s="12">
        <v>1600</v>
      </c>
      <c r="N4122" s="9"/>
      <c r="O4122" s="12">
        <v>0</v>
      </c>
      <c r="P4122" s="9"/>
      <c r="Q4122" s="12">
        <f t="shared" si="115"/>
        <v>1600</v>
      </c>
      <c r="T4122" s="47"/>
    </row>
    <row r="4123" spans="1:21" ht="11.85" customHeight="1" x14ac:dyDescent="0.2">
      <c r="A4123" s="3" t="s">
        <v>328</v>
      </c>
      <c r="C4123" s="2">
        <f>SUM(C4102:C4108)+SUM(C4109:C4122)</f>
        <v>69339.459999999992</v>
      </c>
      <c r="E4123" s="2">
        <f>SUM(E4102:E4108)+SUM(E4109:E4122)</f>
        <v>71662.61</v>
      </c>
      <c r="G4123" s="2">
        <f>SUM(G4102:G4108)+SUM(G4109:G4122)</f>
        <v>90923.24</v>
      </c>
      <c r="I4123" s="2">
        <f>SUM(I4102:I4108)+SUM(I4109:I4122)</f>
        <v>118600</v>
      </c>
      <c r="K4123" s="2">
        <f>SUM(K4102:K4122)</f>
        <v>118600</v>
      </c>
      <c r="L4123" s="9"/>
      <c r="M4123" s="2">
        <f>SUM(M4102:M4108)+SUM(M4109:M4122)</f>
        <v>79900</v>
      </c>
      <c r="N4123" s="9"/>
      <c r="O4123" s="2">
        <f>SUM(O4102:O4108)+SUM(O4109:O4122)</f>
        <v>0</v>
      </c>
      <c r="P4123" s="9"/>
      <c r="Q4123" s="2">
        <f>SUM(Q4102:Q4108)+SUM(Q4109:Q4122)</f>
        <v>79900</v>
      </c>
      <c r="R4123" s="9"/>
      <c r="T4123" s="47"/>
      <c r="U4123" s="9"/>
    </row>
    <row r="4124" spans="1:21" ht="11.85" customHeight="1" x14ac:dyDescent="0.2">
      <c r="L4124" s="9"/>
      <c r="N4124" s="9"/>
      <c r="P4124" s="9"/>
      <c r="T4124" s="47"/>
    </row>
    <row r="4125" spans="1:21" ht="11.85" customHeight="1" x14ac:dyDescent="0.2">
      <c r="A4125" s="3" t="s">
        <v>1675</v>
      </c>
      <c r="C4125" s="2">
        <v>24002.39</v>
      </c>
      <c r="E4125" s="2">
        <v>66250</v>
      </c>
      <c r="G4125" s="2">
        <v>0</v>
      </c>
      <c r="I4125" s="2">
        <v>0</v>
      </c>
      <c r="K4125" s="2">
        <v>0</v>
      </c>
      <c r="L4125" s="9"/>
      <c r="M4125" s="2">
        <v>0</v>
      </c>
      <c r="N4125" s="9"/>
      <c r="O4125" s="2">
        <v>0</v>
      </c>
      <c r="P4125" s="9"/>
      <c r="Q4125" s="2">
        <f>M4125+O4125</f>
        <v>0</v>
      </c>
      <c r="T4125" s="47"/>
    </row>
    <row r="4126" spans="1:21" ht="11.85" customHeight="1" x14ac:dyDescent="0.2">
      <c r="A4126" s="3" t="s">
        <v>1676</v>
      </c>
      <c r="C4126" s="12">
        <v>0</v>
      </c>
      <c r="E4126" s="12">
        <v>37125.71</v>
      </c>
      <c r="G4126" s="12">
        <v>0</v>
      </c>
      <c r="I4126" s="12">
        <v>0</v>
      </c>
      <c r="K4126" s="12">
        <v>0</v>
      </c>
      <c r="L4126" s="9"/>
      <c r="M4126" s="12">
        <v>0</v>
      </c>
      <c r="N4126" s="9"/>
      <c r="O4126" s="12">
        <v>38000</v>
      </c>
      <c r="P4126" s="9"/>
      <c r="Q4126" s="12">
        <f>M4126+O4126</f>
        <v>38000</v>
      </c>
      <c r="T4126" s="47"/>
    </row>
    <row r="4127" spans="1:21" ht="11.85" hidden="1" customHeight="1" x14ac:dyDescent="0.2">
      <c r="A4127" s="3" t="s">
        <v>1677</v>
      </c>
      <c r="C4127" s="12">
        <v>0</v>
      </c>
      <c r="E4127" s="12">
        <v>0</v>
      </c>
      <c r="G4127" s="12">
        <v>0</v>
      </c>
      <c r="I4127" s="12">
        <v>0</v>
      </c>
      <c r="K4127" s="12">
        <v>0</v>
      </c>
      <c r="L4127" s="9"/>
      <c r="M4127" s="12">
        <v>0</v>
      </c>
      <c r="N4127" s="9"/>
      <c r="O4127" s="12">
        <v>0</v>
      </c>
      <c r="P4127" s="9"/>
      <c r="Q4127" s="12">
        <f>M4127+O4127</f>
        <v>0</v>
      </c>
      <c r="T4127" s="47"/>
    </row>
    <row r="4128" spans="1:21" ht="11.85" customHeight="1" x14ac:dyDescent="0.2">
      <c r="A4128" s="3" t="s">
        <v>331</v>
      </c>
      <c r="C4128" s="2">
        <f>SUM(C4125:C4127)</f>
        <v>24002.39</v>
      </c>
      <c r="E4128" s="2">
        <f>SUM(E4125:E4127)</f>
        <v>103375.70999999999</v>
      </c>
      <c r="G4128" s="2">
        <f>SUM(G4125:G4127)</f>
        <v>0</v>
      </c>
      <c r="I4128" s="2">
        <f>SUM(I4125:I4127)</f>
        <v>0</v>
      </c>
      <c r="K4128" s="2">
        <f>SUM(K4125:K4127)</f>
        <v>0</v>
      </c>
      <c r="L4128" s="9"/>
      <c r="M4128" s="2">
        <f>SUM(M4125:M4127)</f>
        <v>0</v>
      </c>
      <c r="N4128" s="9"/>
      <c r="O4128" s="2">
        <f>SUM(O4125:O4127)</f>
        <v>38000</v>
      </c>
      <c r="P4128" s="9"/>
      <c r="Q4128" s="2">
        <f>SUM(Q4125:Q4127)</f>
        <v>38000</v>
      </c>
      <c r="T4128" s="47"/>
    </row>
    <row r="4129" spans="1:20" ht="11.85" customHeight="1" x14ac:dyDescent="0.2">
      <c r="A4129" s="1"/>
      <c r="B4129" s="1"/>
      <c r="E4129" s="2" t="str">
        <f>$E$1</f>
        <v>CITY OF BRADY</v>
      </c>
      <c r="T4129" s="47"/>
    </row>
    <row r="4130" spans="1:20" ht="11.85" customHeight="1" x14ac:dyDescent="0.2">
      <c r="E4130" s="2" t="str">
        <f>$E$2</f>
        <v>BUDGET REPORT</v>
      </c>
      <c r="T4130" s="47"/>
    </row>
    <row r="4131" spans="1:20" ht="11.85" customHeight="1" x14ac:dyDescent="0.2">
      <c r="E4131" s="2" t="str">
        <f>$E$3</f>
        <v>FISCAL YEAR 2024 - 2025</v>
      </c>
      <c r="T4131" s="47"/>
    </row>
    <row r="4132" spans="1:20" ht="11.85" customHeight="1" x14ac:dyDescent="0.2">
      <c r="A4132" s="3" t="s">
        <v>1608</v>
      </c>
      <c r="T4132" s="47"/>
    </row>
    <row r="4133" spans="1:20" ht="11.85" customHeight="1" x14ac:dyDescent="0.2">
      <c r="A4133" s="3" t="s">
        <v>1628</v>
      </c>
      <c r="T4133" s="47"/>
    </row>
    <row r="4134" spans="1:20" ht="11.85" customHeight="1" x14ac:dyDescent="0.2">
      <c r="I4134" s="53" t="str">
        <f>$I$6</f>
        <v>(----- 2023-2024------)</v>
      </c>
      <c r="J4134" s="53"/>
      <c r="K4134" s="53"/>
      <c r="L4134" s="6"/>
      <c r="M4134" s="54" t="str">
        <f>$M$6</f>
        <v>2024-2025</v>
      </c>
      <c r="N4134" s="54"/>
      <c r="O4134" s="54"/>
      <c r="P4134" s="54"/>
      <c r="Q4134" s="54"/>
      <c r="T4134" s="47"/>
    </row>
    <row r="4135" spans="1:20" ht="11.85" customHeight="1" x14ac:dyDescent="0.2">
      <c r="C4135" s="5" t="str">
        <f>$C$7</f>
        <v>2020-2021</v>
      </c>
      <c r="D4135" s="5"/>
      <c r="E4135" s="5" t="str">
        <f>$E$7</f>
        <v>2021-2022</v>
      </c>
      <c r="F4135" s="5"/>
      <c r="G4135" s="5" t="str">
        <f>$G$7</f>
        <v>2022-2023</v>
      </c>
      <c r="H4135" s="5"/>
      <c r="I4135" s="5" t="s">
        <v>9</v>
      </c>
      <c r="J4135" s="5"/>
      <c r="K4135" s="5" t="str">
        <f>+$K$7</f>
        <v>PROJECTED</v>
      </c>
      <c r="L4135" s="6"/>
      <c r="M4135" s="5">
        <f>$M$7</f>
        <v>0</v>
      </c>
      <c r="N4135" s="6"/>
      <c r="O4135" s="5" t="str">
        <f>$O$7</f>
        <v>2024-2025</v>
      </c>
      <c r="P4135" s="6"/>
      <c r="Q4135" s="5" t="str">
        <f>$Q$7</f>
        <v>APPROVED</v>
      </c>
      <c r="T4135" s="47"/>
    </row>
    <row r="4136" spans="1:20" ht="11.85" customHeight="1" x14ac:dyDescent="0.2">
      <c r="A4136" s="7" t="s">
        <v>273</v>
      </c>
      <c r="C4136" s="8" t="s">
        <v>12</v>
      </c>
      <c r="D4136" s="5"/>
      <c r="E4136" s="8" t="s">
        <v>12</v>
      </c>
      <c r="F4136" s="5"/>
      <c r="G4136" s="8" t="s">
        <v>12</v>
      </c>
      <c r="H4136" s="5"/>
      <c r="I4136" s="8" t="s">
        <v>13</v>
      </c>
      <c r="J4136" s="5"/>
      <c r="K4136" s="8" t="s">
        <v>13</v>
      </c>
      <c r="L4136" s="6"/>
      <c r="M4136" s="8" t="str">
        <f>$M$8</f>
        <v>BASE</v>
      </c>
      <c r="N4136" s="6"/>
      <c r="O4136" s="8" t="str">
        <f>$O$8</f>
        <v>SUPPLEMENTAL</v>
      </c>
      <c r="P4136" s="6"/>
      <c r="Q4136" s="8" t="str">
        <f>$Q$8</f>
        <v>BUDGET</v>
      </c>
      <c r="T4136" s="47"/>
    </row>
    <row r="4137" spans="1:20" ht="11.85" customHeight="1" x14ac:dyDescent="0.2">
      <c r="L4137" s="9"/>
      <c r="N4137" s="9"/>
      <c r="P4137" s="9"/>
      <c r="T4137" s="47"/>
    </row>
    <row r="4138" spans="1:20" ht="11.85" customHeight="1" x14ac:dyDescent="0.2">
      <c r="A4138" s="10" t="s">
        <v>1016</v>
      </c>
      <c r="L4138" s="9"/>
      <c r="N4138" s="9"/>
      <c r="P4138" s="9"/>
      <c r="T4138" s="47"/>
    </row>
    <row r="4139" spans="1:20" ht="11.85" customHeight="1" x14ac:dyDescent="0.2">
      <c r="A4139" s="3" t="s">
        <v>1678</v>
      </c>
      <c r="C4139" s="12">
        <v>0</v>
      </c>
      <c r="E4139" s="12">
        <v>0</v>
      </c>
      <c r="G4139" s="12">
        <v>0</v>
      </c>
      <c r="I4139" s="12">
        <v>0</v>
      </c>
      <c r="K4139" s="12">
        <v>0</v>
      </c>
      <c r="L4139" s="9"/>
      <c r="M4139" s="12">
        <v>0</v>
      </c>
      <c r="N4139" s="9"/>
      <c r="O4139" s="12">
        <v>0</v>
      </c>
      <c r="P4139" s="9"/>
      <c r="Q4139" s="12">
        <f>M4139+O4139</f>
        <v>0</v>
      </c>
      <c r="T4139" s="47"/>
    </row>
    <row r="4140" spans="1:20" ht="11.85" hidden="1" customHeight="1" x14ac:dyDescent="0.2">
      <c r="A4140" s="3" t="s">
        <v>1679</v>
      </c>
      <c r="C4140" s="12">
        <v>0</v>
      </c>
      <c r="E4140" s="12">
        <v>0</v>
      </c>
      <c r="G4140" s="12">
        <v>0</v>
      </c>
      <c r="I4140" s="12">
        <v>0</v>
      </c>
      <c r="K4140" s="12">
        <v>0</v>
      </c>
      <c r="L4140" s="9"/>
      <c r="M4140" s="12">
        <v>0</v>
      </c>
      <c r="N4140" s="9"/>
      <c r="O4140" s="12">
        <v>0</v>
      </c>
      <c r="P4140" s="9"/>
      <c r="Q4140" s="12">
        <f>M4140+O4140</f>
        <v>0</v>
      </c>
      <c r="T4140" s="47"/>
    </row>
    <row r="4141" spans="1:20" ht="11.85" customHeight="1" x14ac:dyDescent="0.2">
      <c r="A4141" s="3" t="s">
        <v>1018</v>
      </c>
      <c r="C4141" s="2">
        <f>SUM(C4139:C4140)</f>
        <v>0</v>
      </c>
      <c r="E4141" s="2">
        <f>SUM(E4139:E4140)</f>
        <v>0</v>
      </c>
      <c r="G4141" s="2">
        <f>SUM(G4139:G4140)</f>
        <v>0</v>
      </c>
      <c r="I4141" s="2">
        <f>SUM(I4139:I4140)</f>
        <v>0</v>
      </c>
      <c r="K4141" s="2">
        <f>SUM(K4139:K4140)</f>
        <v>0</v>
      </c>
      <c r="L4141" s="9"/>
      <c r="M4141" s="2">
        <f>SUM(M4139:M4140)</f>
        <v>0</v>
      </c>
      <c r="N4141" s="9"/>
      <c r="O4141" s="2">
        <f>SUM(O4139:O4140)</f>
        <v>0</v>
      </c>
      <c r="P4141" s="9"/>
      <c r="Q4141" s="2">
        <f>SUM(Q4139:Q4140)</f>
        <v>0</v>
      </c>
      <c r="T4141" s="47"/>
    </row>
    <row r="4142" spans="1:20" ht="11.85" customHeight="1" x14ac:dyDescent="0.2">
      <c r="L4142" s="9"/>
      <c r="N4142" s="9"/>
      <c r="P4142" s="9"/>
      <c r="T4142" s="47"/>
    </row>
    <row r="4143" spans="1:20" ht="11.85" customHeight="1" x14ac:dyDescent="0.2">
      <c r="A4143" s="10" t="s">
        <v>332</v>
      </c>
      <c r="L4143" s="9"/>
      <c r="N4143" s="9"/>
      <c r="P4143" s="9"/>
      <c r="T4143" s="47"/>
    </row>
    <row r="4144" spans="1:20" ht="11.85" customHeight="1" x14ac:dyDescent="0.2">
      <c r="A4144" s="3" t="s">
        <v>1680</v>
      </c>
      <c r="C4144" s="2">
        <v>68425.8</v>
      </c>
      <c r="E4144" s="2">
        <v>77048.320000000007</v>
      </c>
      <c r="G4144" s="2">
        <v>31499.279999999999</v>
      </c>
      <c r="I4144" s="2">
        <v>16200</v>
      </c>
      <c r="K4144" s="2">
        <v>16200</v>
      </c>
      <c r="L4144" s="9"/>
      <c r="M4144" s="2">
        <v>16700</v>
      </c>
      <c r="N4144" s="9"/>
      <c r="O4144" s="2">
        <v>0</v>
      </c>
      <c r="P4144" s="9"/>
      <c r="Q4144" s="2">
        <f t="shared" ref="Q4144:Q4150" si="116">M4144+O4144</f>
        <v>16700</v>
      </c>
      <c r="T4144" s="47"/>
    </row>
    <row r="4145" spans="1:22" ht="11.85" customHeight="1" x14ac:dyDescent="0.2">
      <c r="A4145" s="3" t="s">
        <v>1681</v>
      </c>
      <c r="C4145" s="2">
        <v>0</v>
      </c>
      <c r="E4145" s="2">
        <v>115373.3</v>
      </c>
      <c r="G4145" s="2">
        <v>0</v>
      </c>
      <c r="I4145" s="2">
        <v>0</v>
      </c>
      <c r="K4145" s="2">
        <v>0</v>
      </c>
      <c r="L4145" s="9"/>
      <c r="M4145" s="2">
        <v>0</v>
      </c>
      <c r="N4145" s="9"/>
      <c r="O4145" s="2">
        <v>0</v>
      </c>
      <c r="P4145" s="9"/>
      <c r="Q4145" s="2">
        <f t="shared" si="116"/>
        <v>0</v>
      </c>
      <c r="T4145" s="47"/>
    </row>
    <row r="4146" spans="1:22" ht="11.85" hidden="1" customHeight="1" x14ac:dyDescent="0.2">
      <c r="A4146" s="3" t="s">
        <v>1682</v>
      </c>
      <c r="C4146" s="2">
        <v>0</v>
      </c>
      <c r="E4146" s="2">
        <v>0</v>
      </c>
      <c r="G4146" s="2">
        <v>0</v>
      </c>
      <c r="I4146" s="2">
        <v>0</v>
      </c>
      <c r="K4146" s="2">
        <v>0</v>
      </c>
      <c r="L4146" s="9"/>
      <c r="M4146" s="2">
        <v>0</v>
      </c>
      <c r="N4146" s="9"/>
      <c r="O4146" s="2">
        <v>0</v>
      </c>
      <c r="P4146" s="9"/>
      <c r="Q4146" s="2">
        <v>0</v>
      </c>
      <c r="T4146" s="47"/>
    </row>
    <row r="4147" spans="1:22" ht="11.85" customHeight="1" x14ac:dyDescent="0.2">
      <c r="A4147" s="3" t="s">
        <v>1683</v>
      </c>
      <c r="C4147" s="2">
        <v>0</v>
      </c>
      <c r="E4147" s="2">
        <v>0</v>
      </c>
      <c r="G4147" s="2">
        <v>0</v>
      </c>
      <c r="I4147" s="2">
        <v>0</v>
      </c>
      <c r="K4147" s="2">
        <v>0</v>
      </c>
      <c r="L4147" s="9"/>
      <c r="M4147" s="2">
        <v>0</v>
      </c>
      <c r="N4147" s="9"/>
      <c r="O4147" s="2">
        <v>0</v>
      </c>
      <c r="P4147" s="9"/>
      <c r="Q4147" s="2">
        <f t="shared" si="116"/>
        <v>0</v>
      </c>
      <c r="T4147" s="47"/>
    </row>
    <row r="4148" spans="1:22" ht="11.85" customHeight="1" x14ac:dyDescent="0.2">
      <c r="A4148" s="3" t="s">
        <v>1684</v>
      </c>
      <c r="C4148" s="2">
        <v>0</v>
      </c>
      <c r="E4148" s="2">
        <v>0</v>
      </c>
      <c r="G4148" s="2">
        <v>54999</v>
      </c>
      <c r="I4148" s="2">
        <v>40000</v>
      </c>
      <c r="K4148" s="2">
        <v>40000</v>
      </c>
      <c r="L4148" s="9"/>
      <c r="M4148" s="2">
        <v>40000</v>
      </c>
      <c r="N4148" s="9"/>
      <c r="O4148" s="2">
        <v>10000</v>
      </c>
      <c r="P4148" s="9"/>
      <c r="Q4148" s="2">
        <f t="shared" si="116"/>
        <v>50000</v>
      </c>
      <c r="T4148" s="47"/>
    </row>
    <row r="4149" spans="1:22" ht="11.85" hidden="1" customHeight="1" x14ac:dyDescent="0.2">
      <c r="A4149" s="3" t="s">
        <v>1685</v>
      </c>
      <c r="C4149" s="2">
        <v>0</v>
      </c>
      <c r="E4149" s="2">
        <v>0</v>
      </c>
      <c r="G4149" s="2">
        <v>0</v>
      </c>
      <c r="I4149" s="2">
        <v>0</v>
      </c>
      <c r="K4149" s="2">
        <v>0</v>
      </c>
      <c r="L4149" s="9"/>
      <c r="M4149" s="2">
        <v>0</v>
      </c>
      <c r="N4149" s="9"/>
      <c r="O4149" s="2">
        <v>0</v>
      </c>
      <c r="P4149" s="9"/>
      <c r="Q4149" s="2">
        <f t="shared" si="116"/>
        <v>0</v>
      </c>
      <c r="T4149" s="47"/>
    </row>
    <row r="4150" spans="1:22" ht="11.85" customHeight="1" x14ac:dyDescent="0.2">
      <c r="A4150" s="3" t="s">
        <v>1686</v>
      </c>
      <c r="C4150" s="12">
        <v>0</v>
      </c>
      <c r="E4150" s="12">
        <v>0</v>
      </c>
      <c r="G4150" s="12">
        <v>0</v>
      </c>
      <c r="I4150" s="12">
        <v>0</v>
      </c>
      <c r="K4150" s="12">
        <v>0</v>
      </c>
      <c r="L4150" s="9"/>
      <c r="M4150" s="12">
        <v>0</v>
      </c>
      <c r="N4150" s="9"/>
      <c r="O4150" s="12">
        <v>0</v>
      </c>
      <c r="P4150" s="9"/>
      <c r="Q4150" s="12">
        <f t="shared" si="116"/>
        <v>0</v>
      </c>
      <c r="R4150" s="9"/>
      <c r="T4150" s="47"/>
    </row>
    <row r="4151" spans="1:22" ht="11.85" customHeight="1" x14ac:dyDescent="0.2">
      <c r="A4151" s="3" t="s">
        <v>336</v>
      </c>
      <c r="C4151" s="2">
        <f>SUM(C4144:C4150)</f>
        <v>68425.8</v>
      </c>
      <c r="E4151" s="2">
        <f>SUM(E4144:E4150)</f>
        <v>192421.62</v>
      </c>
      <c r="G4151" s="2">
        <f>SUM(G4144:G4150)</f>
        <v>86498.28</v>
      </c>
      <c r="I4151" s="2">
        <f>SUM(I4144:I4150)</f>
        <v>56200</v>
      </c>
      <c r="K4151" s="2">
        <f>SUM(K4144:K4150)</f>
        <v>56200</v>
      </c>
      <c r="L4151" s="9"/>
      <c r="M4151" s="2">
        <f>SUM(M4144:M4150)</f>
        <v>56700</v>
      </c>
      <c r="N4151" s="9"/>
      <c r="O4151" s="2">
        <f>SUM(O4144:O4150)</f>
        <v>10000</v>
      </c>
      <c r="P4151" s="9"/>
      <c r="Q4151" s="2">
        <f>SUM(Q4144:Q4150)</f>
        <v>66700</v>
      </c>
      <c r="R4151" s="9"/>
      <c r="T4151" s="47"/>
      <c r="U4151" s="9"/>
    </row>
    <row r="4152" spans="1:22" ht="11.85" customHeight="1" x14ac:dyDescent="0.2">
      <c r="L4152" s="9"/>
      <c r="N4152" s="9"/>
      <c r="P4152" s="9"/>
      <c r="T4152" s="47"/>
    </row>
    <row r="4153" spans="1:22" ht="11.85" customHeight="1" x14ac:dyDescent="0.2">
      <c r="A4153" s="3" t="s">
        <v>1687</v>
      </c>
      <c r="C4153" s="2">
        <f>C4081+C4099+C4123+C4128+C4141+C4151</f>
        <v>1125618.6299999999</v>
      </c>
      <c r="E4153" s="2">
        <f>E4081+E4099+E4123+E4128+E4141+E4151</f>
        <v>1514782.37</v>
      </c>
      <c r="G4153" s="2">
        <f>G4081+G4099+G4123+G4128+G4141+G4151</f>
        <v>1164529.6700000002</v>
      </c>
      <c r="I4153" s="2">
        <f>I4081+I4099+I4123+I4128+I4141+I4151</f>
        <v>1317022</v>
      </c>
      <c r="K4153" s="2">
        <f>K4081+K4099+K4123+K4128+K4141+K4151</f>
        <v>1317022</v>
      </c>
      <c r="L4153" s="9"/>
      <c r="M4153" s="2">
        <f>M4081+M4099+M4123+M4128+M4141+M4151</f>
        <v>1192970</v>
      </c>
      <c r="N4153" s="9"/>
      <c r="O4153" s="2">
        <f>O4081+O4099+O4123+O4128+O4141+O4151</f>
        <v>48000</v>
      </c>
      <c r="P4153" s="9"/>
      <c r="Q4153" s="2">
        <f>Q4081+Q4099+Q4123+Q4128+Q4141+Q4151</f>
        <v>1240970</v>
      </c>
      <c r="R4153" s="9"/>
      <c r="T4153" s="47"/>
      <c r="U4153" s="48"/>
      <c r="V4153" s="9"/>
    </row>
    <row r="4154" spans="1:22" ht="11.85" customHeight="1" x14ac:dyDescent="0.2">
      <c r="T4154" s="47"/>
    </row>
    <row r="4155" spans="1:22" ht="11.85" customHeight="1" x14ac:dyDescent="0.2">
      <c r="T4155" s="47"/>
    </row>
    <row r="4156" spans="1:22" ht="11.85" customHeight="1" x14ac:dyDescent="0.2">
      <c r="T4156" s="47"/>
    </row>
    <row r="4157" spans="1:22" ht="11.85" customHeight="1" x14ac:dyDescent="0.2">
      <c r="T4157" s="47"/>
    </row>
    <row r="4158" spans="1:22" ht="11.85" customHeight="1" x14ac:dyDescent="0.2">
      <c r="T4158" s="47"/>
    </row>
    <row r="4159" spans="1:22" ht="11.85" customHeight="1" x14ac:dyDescent="0.2">
      <c r="T4159" s="47"/>
    </row>
    <row r="4160" spans="1:22" ht="11.85" customHeight="1" x14ac:dyDescent="0.2">
      <c r="T4160" s="47"/>
    </row>
    <row r="4161" spans="20:20" ht="11.85" customHeight="1" x14ac:dyDescent="0.2">
      <c r="T4161" s="47"/>
    </row>
    <row r="4162" spans="20:20" ht="11.85" customHeight="1" x14ac:dyDescent="0.2">
      <c r="T4162" s="47"/>
    </row>
    <row r="4163" spans="20:20" ht="11.85" customHeight="1" x14ac:dyDescent="0.2">
      <c r="T4163" s="47"/>
    </row>
    <row r="4164" spans="20:20" ht="11.85" customHeight="1" x14ac:dyDescent="0.2">
      <c r="T4164" s="47"/>
    </row>
    <row r="4165" spans="20:20" ht="11.85" customHeight="1" x14ac:dyDescent="0.2">
      <c r="T4165" s="47"/>
    </row>
    <row r="4166" spans="20:20" ht="11.85" customHeight="1" x14ac:dyDescent="0.2">
      <c r="T4166" s="47"/>
    </row>
    <row r="4167" spans="20:20" ht="11.85" customHeight="1" x14ac:dyDescent="0.2">
      <c r="T4167" s="47"/>
    </row>
    <row r="4168" spans="20:20" ht="11.85" customHeight="1" x14ac:dyDescent="0.2">
      <c r="T4168" s="47"/>
    </row>
    <row r="4169" spans="20:20" ht="11.85" customHeight="1" x14ac:dyDescent="0.2">
      <c r="T4169" s="47"/>
    </row>
    <row r="4170" spans="20:20" ht="11.85" customHeight="1" x14ac:dyDescent="0.2">
      <c r="T4170" s="47"/>
    </row>
    <row r="4171" spans="20:20" ht="11.85" customHeight="1" x14ac:dyDescent="0.2">
      <c r="T4171" s="47"/>
    </row>
    <row r="4172" spans="20:20" ht="11.85" customHeight="1" x14ac:dyDescent="0.2">
      <c r="T4172" s="47"/>
    </row>
    <row r="4173" spans="20:20" ht="11.85" customHeight="1" x14ac:dyDescent="0.2">
      <c r="T4173" s="47"/>
    </row>
    <row r="4174" spans="20:20" ht="11.85" customHeight="1" x14ac:dyDescent="0.2">
      <c r="T4174" s="47"/>
    </row>
    <row r="4175" spans="20:20" ht="11.85" customHeight="1" x14ac:dyDescent="0.2">
      <c r="T4175" s="47"/>
    </row>
    <row r="4176" spans="20:20" ht="11.85" customHeight="1" x14ac:dyDescent="0.2">
      <c r="T4176" s="47"/>
    </row>
    <row r="4177" spans="1:20" ht="11.85" customHeight="1" x14ac:dyDescent="0.2">
      <c r="T4177" s="47"/>
    </row>
    <row r="4178" spans="1:20" ht="11.85" customHeight="1" x14ac:dyDescent="0.2">
      <c r="T4178" s="47"/>
    </row>
    <row r="4179" spans="1:20" ht="11.85" customHeight="1" x14ac:dyDescent="0.2">
      <c r="T4179" s="47"/>
    </row>
    <row r="4180" spans="1:20" ht="11.85" customHeight="1" x14ac:dyDescent="0.2">
      <c r="T4180" s="47"/>
    </row>
    <row r="4181" spans="1:20" ht="11.85" customHeight="1" x14ac:dyDescent="0.2">
      <c r="T4181" s="47"/>
    </row>
    <row r="4182" spans="1:20" ht="11.85" customHeight="1" x14ac:dyDescent="0.2">
      <c r="T4182" s="47"/>
    </row>
    <row r="4183" spans="1:20" ht="11.85" customHeight="1" x14ac:dyDescent="0.2">
      <c r="T4183" s="47"/>
    </row>
    <row r="4184" spans="1:20" ht="11.85" customHeight="1" x14ac:dyDescent="0.2">
      <c r="T4184" s="47"/>
    </row>
    <row r="4185" spans="1:20" ht="11.85" customHeight="1" x14ac:dyDescent="0.2">
      <c r="T4185" s="47"/>
    </row>
    <row r="4186" spans="1:20" ht="11.85" customHeight="1" x14ac:dyDescent="0.2">
      <c r="T4186" s="47"/>
    </row>
    <row r="4187" spans="1:20" ht="11.85" customHeight="1" x14ac:dyDescent="0.2">
      <c r="T4187" s="47"/>
    </row>
    <row r="4188" spans="1:20" ht="11.85" customHeight="1" x14ac:dyDescent="0.2">
      <c r="T4188" s="47"/>
    </row>
    <row r="4189" spans="1:20" ht="11.85" customHeight="1" x14ac:dyDescent="0.2">
      <c r="T4189" s="47"/>
    </row>
    <row r="4190" spans="1:20" ht="11.85" customHeight="1" x14ac:dyDescent="0.2">
      <c r="T4190" s="47"/>
    </row>
    <row r="4191" spans="1:20" ht="11.85" customHeight="1" x14ac:dyDescent="0.2">
      <c r="T4191" s="47"/>
    </row>
    <row r="4192" spans="1:20" ht="11.85" customHeight="1" x14ac:dyDescent="0.2">
      <c r="A4192" s="1"/>
      <c r="B4192" s="1"/>
      <c r="E4192" s="2" t="str">
        <f>$E$1</f>
        <v>CITY OF BRADY</v>
      </c>
      <c r="T4192" s="47"/>
    </row>
    <row r="4193" spans="1:22" ht="11.85" customHeight="1" x14ac:dyDescent="0.2">
      <c r="E4193" s="2" t="str">
        <f>$E$2</f>
        <v>BUDGET REPORT</v>
      </c>
      <c r="T4193" s="47"/>
    </row>
    <row r="4194" spans="1:22" ht="11.85" customHeight="1" x14ac:dyDescent="0.2">
      <c r="E4194" s="2" t="str">
        <f>$E$3</f>
        <v>FISCAL YEAR 2024 - 2025</v>
      </c>
      <c r="T4194" s="47"/>
    </row>
    <row r="4195" spans="1:22" ht="11.85" customHeight="1" x14ac:dyDescent="0.2">
      <c r="A4195" s="3" t="s">
        <v>1608</v>
      </c>
      <c r="T4195" s="47"/>
    </row>
    <row r="4196" spans="1:22" ht="11.85" customHeight="1" x14ac:dyDescent="0.2"/>
    <row r="4197" spans="1:22" ht="11.85" customHeight="1" x14ac:dyDescent="0.2">
      <c r="I4197" s="53" t="str">
        <f>$I$6</f>
        <v>(----- 2023-2024------)</v>
      </c>
      <c r="J4197" s="53"/>
      <c r="K4197" s="53"/>
      <c r="L4197" s="6"/>
      <c r="M4197" s="54" t="str">
        <f>$M$6</f>
        <v>2024-2025</v>
      </c>
      <c r="N4197" s="54"/>
      <c r="O4197" s="54"/>
      <c r="P4197" s="54"/>
      <c r="Q4197" s="54"/>
    </row>
    <row r="4198" spans="1:22" ht="11.85" customHeight="1" x14ac:dyDescent="0.2">
      <c r="C4198" s="5" t="str">
        <f>$C$7</f>
        <v>2020-2021</v>
      </c>
      <c r="D4198" s="5"/>
      <c r="E4198" s="5" t="str">
        <f>$E$7</f>
        <v>2021-2022</v>
      </c>
      <c r="F4198" s="5"/>
      <c r="G4198" s="5" t="str">
        <f>$G$7</f>
        <v>2022-2023</v>
      </c>
      <c r="H4198" s="5"/>
      <c r="I4198" s="5" t="s">
        <v>9</v>
      </c>
      <c r="J4198" s="5"/>
      <c r="K4198" s="5" t="str">
        <f>+$K$7</f>
        <v>PROJECTED</v>
      </c>
      <c r="L4198" s="6"/>
      <c r="M4198" s="5">
        <f>$M$7</f>
        <v>0</v>
      </c>
      <c r="N4198" s="6"/>
      <c r="O4198" s="5" t="str">
        <f>$O$7</f>
        <v>2024-2025</v>
      </c>
      <c r="P4198" s="6"/>
      <c r="Q4198" s="5" t="str">
        <f>$Q$7</f>
        <v>APPROVED</v>
      </c>
    </row>
    <row r="4199" spans="1:22" ht="11.85" customHeight="1" x14ac:dyDescent="0.2">
      <c r="A4199" s="7" t="s">
        <v>273</v>
      </c>
      <c r="C4199" s="8" t="s">
        <v>12</v>
      </c>
      <c r="D4199" s="5"/>
      <c r="E4199" s="8" t="s">
        <v>12</v>
      </c>
      <c r="F4199" s="5"/>
      <c r="G4199" s="8" t="s">
        <v>12</v>
      </c>
      <c r="H4199" s="5"/>
      <c r="I4199" s="8" t="s">
        <v>13</v>
      </c>
      <c r="J4199" s="5"/>
      <c r="K4199" s="8" t="s">
        <v>13</v>
      </c>
      <c r="L4199" s="6"/>
      <c r="M4199" s="8" t="str">
        <f>$M$8</f>
        <v>BASE</v>
      </c>
      <c r="N4199" s="6"/>
      <c r="O4199" s="8" t="str">
        <f>$O$8</f>
        <v>SUPPLEMENTAL</v>
      </c>
      <c r="P4199" s="6"/>
      <c r="Q4199" s="8" t="str">
        <f>$Q$8</f>
        <v>BUDGET</v>
      </c>
    </row>
    <row r="4200" spans="1:22" ht="11.85" customHeight="1" x14ac:dyDescent="0.2"/>
    <row r="4201" spans="1:22" ht="11.85" customHeight="1" thickBot="1" x14ac:dyDescent="0.25">
      <c r="A4201" s="3" t="s">
        <v>1123</v>
      </c>
      <c r="C4201" s="25">
        <f>C4153</f>
        <v>1125618.6299999999</v>
      </c>
      <c r="E4201" s="25">
        <f>E4153</f>
        <v>1514782.37</v>
      </c>
      <c r="G4201" s="25">
        <f>G4153</f>
        <v>1164529.6700000002</v>
      </c>
      <c r="I4201" s="25">
        <f>I4153</f>
        <v>1317022</v>
      </c>
      <c r="K4201" s="25">
        <f>K4153</f>
        <v>1317022</v>
      </c>
      <c r="L4201" s="9"/>
      <c r="M4201" s="25">
        <f>M4153</f>
        <v>1192970</v>
      </c>
      <c r="N4201" s="9"/>
      <c r="O4201" s="25">
        <f>O4153</f>
        <v>48000</v>
      </c>
      <c r="P4201" s="9"/>
      <c r="Q4201" s="25">
        <f>Q4153</f>
        <v>1240970</v>
      </c>
      <c r="R4201" s="9"/>
      <c r="U4201" s="9"/>
      <c r="V4201" s="9"/>
    </row>
    <row r="4202" spans="1:22" ht="11.85" customHeight="1" thickTop="1" x14ac:dyDescent="0.2">
      <c r="L4202" s="9"/>
      <c r="N4202" s="9"/>
      <c r="P4202" s="9"/>
    </row>
    <row r="4203" spans="1:22" ht="11.85" customHeight="1" thickBot="1" x14ac:dyDescent="0.25">
      <c r="A4203" s="3" t="s">
        <v>1124</v>
      </c>
      <c r="C4203" s="36">
        <f>C4038-C4201</f>
        <v>147197.64999999991</v>
      </c>
      <c r="D4203" s="9"/>
      <c r="E4203" s="36">
        <f>E4038-E4201</f>
        <v>-143304.87000000034</v>
      </c>
      <c r="F4203" s="9"/>
      <c r="G4203" s="36">
        <f>G4038-G4201</f>
        <v>33109.309999999823</v>
      </c>
      <c r="H4203" s="9"/>
      <c r="I4203" s="36">
        <f>I4038-I4201</f>
        <v>-53522</v>
      </c>
      <c r="J4203" s="9"/>
      <c r="K4203" s="36">
        <f>K4038-K4201</f>
        <v>-40522</v>
      </c>
      <c r="L4203" s="9"/>
      <c r="M4203" s="36">
        <f>M4038-M4201</f>
        <v>-29970</v>
      </c>
      <c r="N4203" s="9"/>
      <c r="O4203" s="36">
        <f>O4038-O4201</f>
        <v>-48000</v>
      </c>
      <c r="P4203" s="9"/>
      <c r="Q4203" s="36">
        <f>Q4038-Q4201</f>
        <v>-77970</v>
      </c>
    </row>
    <row r="4204" spans="1:22" ht="11.85" customHeight="1" thickTop="1" x14ac:dyDescent="0.2">
      <c r="L4204" s="9"/>
      <c r="N4204" s="9"/>
      <c r="P4204" s="9"/>
    </row>
    <row r="4205" spans="1:22" ht="11.85" customHeight="1" x14ac:dyDescent="0.2">
      <c r="L4205" s="9"/>
      <c r="N4205" s="9"/>
      <c r="P4205" s="9"/>
    </row>
    <row r="4206" spans="1:22" ht="11.85" customHeight="1" x14ac:dyDescent="0.2">
      <c r="A4206" s="3" t="s">
        <v>1125</v>
      </c>
      <c r="L4206" s="9"/>
      <c r="N4206" s="9"/>
      <c r="P4206" s="9"/>
    </row>
    <row r="4207" spans="1:22" ht="11.85" customHeight="1" thickBot="1" x14ac:dyDescent="0.25">
      <c r="A4207" s="3" t="s">
        <v>17</v>
      </c>
      <c r="C4207" s="25">
        <f>C4008+C4038-C4201</f>
        <v>625257.90999999992</v>
      </c>
      <c r="E4207" s="25">
        <f>E4008+E4038-E4201</f>
        <v>481953.03999999957</v>
      </c>
      <c r="G4207" s="25">
        <f>G4008+G4038-G4201</f>
        <v>515062.34999999939</v>
      </c>
      <c r="I4207" s="25">
        <f>I4008+I4038-I4201</f>
        <v>461540.34999999939</v>
      </c>
      <c r="K4207" s="25">
        <f>K4008+K4038-K4201</f>
        <v>474540.34999999939</v>
      </c>
      <c r="L4207" s="9"/>
      <c r="M4207" s="25">
        <f>M4008+M4038-M4201</f>
        <v>444570.34999999939</v>
      </c>
      <c r="N4207" s="9"/>
      <c r="P4207" s="9"/>
      <c r="Q4207" s="25">
        <f>Q4008+Q4038-Q4201</f>
        <v>396570.34999999939</v>
      </c>
      <c r="U4207" s="9"/>
    </row>
    <row r="4208" spans="1:22" ht="11.85" customHeight="1" thickTop="1" x14ac:dyDescent="0.2"/>
    <row r="4209" ht="11.85" customHeight="1" x14ac:dyDescent="0.2"/>
    <row r="4210" ht="11.85" customHeight="1" x14ac:dyDescent="0.2"/>
    <row r="4211" ht="11.85" customHeight="1" x14ac:dyDescent="0.2"/>
    <row r="4212" ht="11.85" customHeight="1" x14ac:dyDescent="0.2"/>
    <row r="4213" ht="11.85" customHeight="1" x14ac:dyDescent="0.2"/>
    <row r="4214" ht="11.85" customHeight="1" x14ac:dyDescent="0.2"/>
    <row r="4215" ht="11.85" customHeight="1" x14ac:dyDescent="0.2"/>
    <row r="4216" ht="11.85" customHeight="1" x14ac:dyDescent="0.2"/>
    <row r="4217" ht="11.85" customHeight="1" x14ac:dyDescent="0.2"/>
    <row r="4218" ht="11.85" customHeight="1" x14ac:dyDescent="0.2"/>
    <row r="4219" ht="11.85" customHeight="1" x14ac:dyDescent="0.2"/>
    <row r="4220" ht="11.85" customHeight="1" x14ac:dyDescent="0.2"/>
    <row r="4221" ht="11.85" customHeight="1" x14ac:dyDescent="0.2"/>
    <row r="4222" ht="11.85" customHeight="1" x14ac:dyDescent="0.2"/>
    <row r="4223" ht="11.85" customHeight="1" x14ac:dyDescent="0.2"/>
    <row r="4224" ht="11.85" customHeight="1" x14ac:dyDescent="0.2"/>
    <row r="4225" ht="11.85" customHeight="1" x14ac:dyDescent="0.2"/>
    <row r="4226" ht="11.85" customHeight="1" x14ac:dyDescent="0.2"/>
    <row r="4227" ht="11.85" customHeight="1" x14ac:dyDescent="0.2"/>
    <row r="4228" ht="11.85" customHeight="1" x14ac:dyDescent="0.2"/>
    <row r="4229" ht="11.85" customHeight="1" x14ac:dyDescent="0.2"/>
    <row r="4230" ht="11.85" customHeight="1" x14ac:dyDescent="0.2"/>
    <row r="4231" ht="11.85" customHeight="1" x14ac:dyDescent="0.2"/>
    <row r="4232" ht="11.85" customHeight="1" x14ac:dyDescent="0.2"/>
    <row r="4233" ht="11.85" customHeight="1" x14ac:dyDescent="0.2"/>
    <row r="4234" ht="11.85" customHeight="1" x14ac:dyDescent="0.2"/>
    <row r="4235" ht="11.85" customHeight="1" x14ac:dyDescent="0.2"/>
    <row r="4236" ht="11.85" customHeight="1" x14ac:dyDescent="0.2"/>
    <row r="4237" ht="11.85" customHeight="1" x14ac:dyDescent="0.2"/>
    <row r="4238" ht="11.85" customHeight="1" x14ac:dyDescent="0.2"/>
    <row r="4239" ht="11.85" customHeight="1" x14ac:dyDescent="0.2"/>
    <row r="4240" ht="11.85" customHeight="1" x14ac:dyDescent="0.2"/>
    <row r="4241" spans="1:5" ht="11.85" customHeight="1" x14ac:dyDescent="0.2"/>
    <row r="4242" spans="1:5" ht="11.85" customHeight="1" x14ac:dyDescent="0.2"/>
    <row r="4243" spans="1:5" ht="11.85" customHeight="1" x14ac:dyDescent="0.2"/>
    <row r="4244" spans="1:5" ht="11.85" customHeight="1" x14ac:dyDescent="0.2"/>
    <row r="4245" spans="1:5" ht="11.85" customHeight="1" x14ac:dyDescent="0.2"/>
    <row r="4246" spans="1:5" ht="11.85" customHeight="1" x14ac:dyDescent="0.2"/>
    <row r="4247" spans="1:5" ht="11.85" customHeight="1" x14ac:dyDescent="0.2"/>
    <row r="4248" spans="1:5" ht="11.85" customHeight="1" x14ac:dyDescent="0.2"/>
    <row r="4249" spans="1:5" ht="11.85" customHeight="1" x14ac:dyDescent="0.2"/>
    <row r="4250" spans="1:5" ht="11.85" customHeight="1" x14ac:dyDescent="0.2"/>
    <row r="4251" spans="1:5" ht="11.85" customHeight="1" x14ac:dyDescent="0.2"/>
    <row r="4252" spans="1:5" ht="11.85" customHeight="1" x14ac:dyDescent="0.2"/>
    <row r="4253" spans="1:5" ht="11.85" customHeight="1" x14ac:dyDescent="0.2"/>
    <row r="4254" spans="1:5" ht="11.85" customHeight="1" x14ac:dyDescent="0.2"/>
    <row r="4255" spans="1:5" ht="11.85" customHeight="1" x14ac:dyDescent="0.2">
      <c r="A4255" s="1"/>
      <c r="B4255" s="1"/>
      <c r="E4255" s="2" t="str">
        <f>$E$1</f>
        <v>CITY OF BRADY</v>
      </c>
    </row>
    <row r="4256" spans="1:5" ht="11.85" customHeight="1" x14ac:dyDescent="0.2">
      <c r="E4256" s="2" t="str">
        <f>$E$2</f>
        <v>BUDGET REPORT</v>
      </c>
    </row>
    <row r="4257" spans="1:19" ht="11.85" customHeight="1" x14ac:dyDescent="0.2">
      <c r="E4257" s="2" t="str">
        <f>$E$3</f>
        <v>FISCAL YEAR 2024 - 2025</v>
      </c>
    </row>
    <row r="4258" spans="1:19" ht="11.85" customHeight="1" x14ac:dyDescent="0.2">
      <c r="A4258" s="3" t="s">
        <v>1688</v>
      </c>
      <c r="S4258" s="18"/>
    </row>
    <row r="4259" spans="1:19" ht="11.85" customHeight="1" x14ac:dyDescent="0.2"/>
    <row r="4260" spans="1:19" ht="11.85" customHeight="1" x14ac:dyDescent="0.2">
      <c r="I4260" s="53" t="str">
        <f>$I$6</f>
        <v>(----- 2023-2024------)</v>
      </c>
      <c r="J4260" s="53"/>
      <c r="K4260" s="53"/>
      <c r="L4260" s="6"/>
      <c r="M4260" s="54" t="str">
        <f>$M$6</f>
        <v>2024-2025</v>
      </c>
      <c r="N4260" s="54"/>
      <c r="O4260" s="54"/>
      <c r="P4260" s="54"/>
      <c r="Q4260" s="54"/>
    </row>
    <row r="4261" spans="1:19" ht="11.85" customHeight="1" x14ac:dyDescent="0.2">
      <c r="C4261" s="5" t="str">
        <f>$C$7</f>
        <v>2020-2021</v>
      </c>
      <c r="D4261" s="5"/>
      <c r="E4261" s="5" t="str">
        <f>$E$7</f>
        <v>2021-2022</v>
      </c>
      <c r="F4261" s="5"/>
      <c r="G4261" s="5" t="str">
        <f>$G$7</f>
        <v>2022-2023</v>
      </c>
      <c r="H4261" s="5"/>
      <c r="I4261" s="5" t="s">
        <v>9</v>
      </c>
      <c r="J4261" s="5"/>
      <c r="K4261" s="5" t="str">
        <f>+$K$7</f>
        <v>PROJECTED</v>
      </c>
      <c r="L4261" s="6"/>
      <c r="M4261" s="5">
        <f>$M$7</f>
        <v>0</v>
      </c>
      <c r="N4261" s="6"/>
      <c r="O4261" s="5" t="str">
        <f>$O$7</f>
        <v>2024-2025</v>
      </c>
      <c r="P4261" s="6"/>
      <c r="Q4261" s="5" t="str">
        <f>$Q$7</f>
        <v>APPROVED</v>
      </c>
    </row>
    <row r="4262" spans="1:19" ht="11.85" customHeight="1" x14ac:dyDescent="0.2">
      <c r="A4262" s="7"/>
      <c r="C4262" s="8" t="s">
        <v>12</v>
      </c>
      <c r="D4262" s="5"/>
      <c r="E4262" s="8" t="s">
        <v>12</v>
      </c>
      <c r="F4262" s="5"/>
      <c r="G4262" s="8" t="s">
        <v>12</v>
      </c>
      <c r="H4262" s="5"/>
      <c r="I4262" s="8" t="s">
        <v>13</v>
      </c>
      <c r="J4262" s="5"/>
      <c r="K4262" s="8" t="s">
        <v>13</v>
      </c>
      <c r="L4262" s="6"/>
      <c r="M4262" s="8" t="str">
        <f>$M$8</f>
        <v>BASE</v>
      </c>
      <c r="N4262" s="6"/>
      <c r="O4262" s="8" t="str">
        <f>$O$8</f>
        <v>SUPPLEMENTAL</v>
      </c>
      <c r="P4262" s="6"/>
      <c r="Q4262" s="8" t="str">
        <f>$Q$8</f>
        <v>BUDGET</v>
      </c>
    </row>
    <row r="4263" spans="1:19" ht="11.85" customHeight="1" x14ac:dyDescent="0.2">
      <c r="S4263" s="18"/>
    </row>
    <row r="4264" spans="1:19" ht="11.85" customHeight="1" x14ac:dyDescent="0.2">
      <c r="A4264" s="3" t="s">
        <v>16</v>
      </c>
    </row>
    <row r="4265" spans="1:19" ht="11.85" customHeight="1" x14ac:dyDescent="0.2">
      <c r="A4265" s="3" t="s">
        <v>17</v>
      </c>
      <c r="C4265" s="2">
        <v>227082.92</v>
      </c>
      <c r="E4265" s="2">
        <f>+C4533</f>
        <v>242766.38</v>
      </c>
      <c r="G4265" s="2">
        <f>+E4533</f>
        <v>260041.13</v>
      </c>
      <c r="I4265" s="2">
        <f>+G4533</f>
        <v>218898.96999999986</v>
      </c>
      <c r="K4265" s="2">
        <f>+I4265</f>
        <v>218898.96999999986</v>
      </c>
      <c r="L4265" s="9"/>
      <c r="M4265" s="2">
        <f>+K4533</f>
        <v>251318.96999999986</v>
      </c>
      <c r="N4265" s="9"/>
      <c r="P4265" s="9"/>
      <c r="Q4265" s="2">
        <f>M4265</f>
        <v>251318.96999999986</v>
      </c>
    </row>
    <row r="4266" spans="1:19" ht="11.85" customHeight="1" x14ac:dyDescent="0.2">
      <c r="L4266" s="9"/>
      <c r="N4266" s="9"/>
      <c r="P4266" s="9"/>
    </row>
    <row r="4267" spans="1:19" ht="11.85" customHeight="1" x14ac:dyDescent="0.2">
      <c r="A4267" s="10" t="s">
        <v>18</v>
      </c>
      <c r="L4267" s="9"/>
      <c r="N4267" s="9"/>
      <c r="P4267" s="9"/>
    </row>
    <row r="4268" spans="1:19" ht="11.85" customHeight="1" x14ac:dyDescent="0.2">
      <c r="L4268" s="9"/>
      <c r="N4268" s="9"/>
      <c r="P4268" s="9"/>
    </row>
    <row r="4269" spans="1:19" ht="11.85" customHeight="1" x14ac:dyDescent="0.2">
      <c r="A4269" s="10" t="s">
        <v>1609</v>
      </c>
      <c r="L4269" s="9"/>
      <c r="N4269" s="9"/>
      <c r="P4269" s="9"/>
    </row>
    <row r="4270" spans="1:19" ht="11.85" customHeight="1" x14ac:dyDescent="0.2">
      <c r="A4270" s="3" t="s">
        <v>1689</v>
      </c>
      <c r="C4270" s="12">
        <v>3343.87</v>
      </c>
      <c r="E4270" s="12">
        <v>5974.88</v>
      </c>
      <c r="G4270" s="12">
        <v>11712.8</v>
      </c>
      <c r="I4270" s="12">
        <v>0</v>
      </c>
      <c r="K4270" s="12">
        <v>0</v>
      </c>
      <c r="L4270" s="9"/>
      <c r="M4270" s="12">
        <v>3000</v>
      </c>
      <c r="N4270" s="9"/>
      <c r="O4270" s="12">
        <v>0</v>
      </c>
      <c r="P4270" s="9"/>
      <c r="Q4270" s="12">
        <f>M4270+O4270</f>
        <v>3000</v>
      </c>
    </row>
    <row r="4271" spans="1:19" ht="11.85" customHeight="1" x14ac:dyDescent="0.2">
      <c r="A4271" s="3" t="s">
        <v>1326</v>
      </c>
      <c r="C4271" s="2">
        <f>SUM(C4270)</f>
        <v>3343.87</v>
      </c>
      <c r="E4271" s="2">
        <f>SUM(E4270)</f>
        <v>5974.88</v>
      </c>
      <c r="G4271" s="2">
        <f>SUM(G4270)</f>
        <v>11712.8</v>
      </c>
      <c r="I4271" s="2">
        <f>SUM(I4270)</f>
        <v>0</v>
      </c>
      <c r="K4271" s="2">
        <f>SUM(K4270)</f>
        <v>0</v>
      </c>
      <c r="L4271" s="9"/>
      <c r="M4271" s="2">
        <f>SUM(M4270)</f>
        <v>3000</v>
      </c>
      <c r="N4271" s="9"/>
      <c r="O4271" s="2">
        <f>SUM(O4270)</f>
        <v>0</v>
      </c>
      <c r="P4271" s="9"/>
      <c r="Q4271" s="2">
        <f>SUM(Q4270)</f>
        <v>3000</v>
      </c>
    </row>
    <row r="4272" spans="1:19" ht="11.85" customHeight="1" x14ac:dyDescent="0.2">
      <c r="L4272" s="9"/>
      <c r="N4272" s="9"/>
      <c r="P4272" s="9"/>
    </row>
    <row r="4273" spans="1:17" ht="11.85" customHeight="1" x14ac:dyDescent="0.2">
      <c r="A4273" s="10" t="s">
        <v>1617</v>
      </c>
      <c r="L4273" s="9"/>
      <c r="N4273" s="9"/>
      <c r="P4273" s="9"/>
    </row>
    <row r="4274" spans="1:17" ht="11.85" customHeight="1" x14ac:dyDescent="0.2">
      <c r="A4274" s="3" t="s">
        <v>1690</v>
      </c>
      <c r="C4274" s="2">
        <v>1187.28</v>
      </c>
      <c r="E4274" s="2">
        <v>4114.5600000000004</v>
      </c>
      <c r="G4274" s="2">
        <v>500</v>
      </c>
      <c r="I4274" s="2">
        <v>0</v>
      </c>
      <c r="K4274" s="2">
        <v>0</v>
      </c>
      <c r="L4274" s="9"/>
      <c r="M4274" s="2">
        <v>0</v>
      </c>
      <c r="N4274" s="9"/>
      <c r="O4274" s="2">
        <v>0</v>
      </c>
      <c r="P4274" s="9"/>
      <c r="Q4274" s="2">
        <f t="shared" ref="Q4274:Q4290" si="117">M4274+O4274</f>
        <v>0</v>
      </c>
    </row>
    <row r="4275" spans="1:17" ht="11.85" customHeight="1" x14ac:dyDescent="0.2">
      <c r="A4275" s="3" t="s">
        <v>1691</v>
      </c>
      <c r="C4275" s="2">
        <v>0</v>
      </c>
      <c r="E4275" s="2">
        <v>0</v>
      </c>
      <c r="G4275" s="2">
        <v>0</v>
      </c>
      <c r="I4275" s="2">
        <v>0</v>
      </c>
      <c r="K4275" s="2">
        <v>0</v>
      </c>
      <c r="L4275" s="9"/>
      <c r="M4275" s="2">
        <v>0</v>
      </c>
      <c r="N4275" s="9"/>
      <c r="O4275" s="2">
        <v>0</v>
      </c>
      <c r="P4275" s="9"/>
      <c r="Q4275" s="2">
        <f t="shared" si="117"/>
        <v>0</v>
      </c>
    </row>
    <row r="4276" spans="1:17" ht="11.85" customHeight="1" x14ac:dyDescent="0.2">
      <c r="A4276" s="3" t="s">
        <v>1692</v>
      </c>
      <c r="C4276" s="2">
        <v>0</v>
      </c>
      <c r="E4276" s="2">
        <v>0</v>
      </c>
      <c r="G4276" s="2">
        <v>6</v>
      </c>
      <c r="I4276" s="2">
        <v>0</v>
      </c>
      <c r="K4276" s="2">
        <v>0</v>
      </c>
      <c r="L4276" s="9"/>
      <c r="M4276" s="2">
        <v>0</v>
      </c>
      <c r="N4276" s="9"/>
      <c r="O4276" s="2">
        <v>0</v>
      </c>
      <c r="P4276" s="9"/>
      <c r="Q4276" s="2">
        <f t="shared" si="117"/>
        <v>0</v>
      </c>
    </row>
    <row r="4277" spans="1:17" ht="11.85" hidden="1" customHeight="1" x14ac:dyDescent="0.2">
      <c r="A4277" s="3" t="s">
        <v>1693</v>
      </c>
      <c r="C4277" s="2">
        <v>0</v>
      </c>
      <c r="E4277" s="2">
        <v>0</v>
      </c>
      <c r="G4277" s="2">
        <v>0</v>
      </c>
      <c r="I4277" s="2">
        <v>0</v>
      </c>
      <c r="K4277" s="2">
        <v>0</v>
      </c>
      <c r="L4277" s="9"/>
      <c r="M4277" s="2">
        <v>0</v>
      </c>
      <c r="N4277" s="9"/>
      <c r="O4277" s="2">
        <v>0</v>
      </c>
      <c r="P4277" s="9"/>
      <c r="Q4277" s="2">
        <f t="shared" si="117"/>
        <v>0</v>
      </c>
    </row>
    <row r="4278" spans="1:17" ht="11.85" customHeight="1" x14ac:dyDescent="0.2">
      <c r="A4278" s="3" t="s">
        <v>1694</v>
      </c>
      <c r="C4278" s="2">
        <v>156582.06</v>
      </c>
      <c r="E4278" s="2">
        <v>176636.77</v>
      </c>
      <c r="G4278" s="2">
        <v>172360.55</v>
      </c>
      <c r="I4278" s="2">
        <v>170000</v>
      </c>
      <c r="K4278" s="2">
        <v>170000</v>
      </c>
      <c r="L4278" s="9"/>
      <c r="M4278" s="2">
        <v>160000</v>
      </c>
      <c r="N4278" s="9"/>
      <c r="O4278" s="2">
        <v>0</v>
      </c>
      <c r="P4278" s="9"/>
      <c r="Q4278" s="2">
        <f t="shared" si="117"/>
        <v>160000</v>
      </c>
    </row>
    <row r="4279" spans="1:17" ht="11.85" customHeight="1" x14ac:dyDescent="0.2">
      <c r="A4279" s="3" t="s">
        <v>1695</v>
      </c>
      <c r="C4279" s="2">
        <v>10023.530000000001</v>
      </c>
      <c r="E4279" s="2">
        <v>9565.9500000000007</v>
      </c>
      <c r="G4279" s="2">
        <v>9591.6</v>
      </c>
      <c r="I4279" s="2">
        <v>10000</v>
      </c>
      <c r="K4279" s="2">
        <v>10000</v>
      </c>
      <c r="L4279" s="9"/>
      <c r="M4279" s="2">
        <v>9000</v>
      </c>
      <c r="N4279" s="9"/>
      <c r="O4279" s="2">
        <v>0</v>
      </c>
      <c r="P4279" s="9"/>
      <c r="Q4279" s="2">
        <f t="shared" si="117"/>
        <v>9000</v>
      </c>
    </row>
    <row r="4280" spans="1:17" ht="11.85" customHeight="1" x14ac:dyDescent="0.2">
      <c r="A4280" s="3" t="s">
        <v>1696</v>
      </c>
      <c r="C4280" s="2">
        <v>29201.68</v>
      </c>
      <c r="E4280" s="2">
        <v>34068.47</v>
      </c>
      <c r="G4280" s="2">
        <v>64761.39</v>
      </c>
      <c r="I4280" s="2">
        <v>72000</v>
      </c>
      <c r="K4280" s="2">
        <v>72000</v>
      </c>
      <c r="L4280" s="9"/>
      <c r="M4280" s="2">
        <v>80000</v>
      </c>
      <c r="N4280" s="9"/>
      <c r="O4280" s="2">
        <v>0</v>
      </c>
      <c r="P4280" s="9"/>
      <c r="Q4280" s="2">
        <f t="shared" si="117"/>
        <v>80000</v>
      </c>
    </row>
    <row r="4281" spans="1:17" ht="11.85" customHeight="1" x14ac:dyDescent="0.2">
      <c r="A4281" s="3" t="s">
        <v>1697</v>
      </c>
      <c r="C4281" s="2">
        <v>0</v>
      </c>
      <c r="E4281" s="2">
        <v>495.49</v>
      </c>
      <c r="G4281" s="2">
        <v>0</v>
      </c>
      <c r="I4281" s="2">
        <v>0</v>
      </c>
      <c r="K4281" s="2">
        <v>0</v>
      </c>
      <c r="L4281" s="9"/>
      <c r="M4281" s="2">
        <v>0</v>
      </c>
      <c r="N4281" s="9"/>
      <c r="O4281" s="2">
        <v>0</v>
      </c>
      <c r="P4281" s="9"/>
      <c r="Q4281" s="2">
        <f t="shared" si="117"/>
        <v>0</v>
      </c>
    </row>
    <row r="4282" spans="1:17" ht="11.85" customHeight="1" x14ac:dyDescent="0.2">
      <c r="A4282" s="3" t="s">
        <v>1698</v>
      </c>
      <c r="C4282" s="9">
        <v>-2.15</v>
      </c>
      <c r="D4282" s="9"/>
      <c r="E4282" s="9">
        <v>-330.59</v>
      </c>
      <c r="F4282" s="9"/>
      <c r="G4282" s="9">
        <v>221.63</v>
      </c>
      <c r="H4282" s="9"/>
      <c r="I4282" s="9">
        <v>-200</v>
      </c>
      <c r="J4282" s="9"/>
      <c r="K4282" s="9">
        <v>-200</v>
      </c>
      <c r="L4282" s="9"/>
      <c r="M4282" s="9">
        <v>-200</v>
      </c>
      <c r="N4282" s="49"/>
      <c r="O4282" s="2">
        <v>0</v>
      </c>
      <c r="P4282" s="49"/>
      <c r="Q4282" s="9">
        <f t="shared" si="117"/>
        <v>-200</v>
      </c>
    </row>
    <row r="4283" spans="1:17" ht="11.85" customHeight="1" x14ac:dyDescent="0.2">
      <c r="A4283" s="3" t="s">
        <v>1699</v>
      </c>
      <c r="C4283" s="2">
        <v>2108.91</v>
      </c>
      <c r="E4283" s="2">
        <v>511.06</v>
      </c>
      <c r="G4283" s="2">
        <v>356.22</v>
      </c>
      <c r="I4283" s="2">
        <v>0</v>
      </c>
      <c r="K4283" s="2">
        <v>0</v>
      </c>
      <c r="L4283" s="9"/>
      <c r="M4283" s="2">
        <v>0</v>
      </c>
      <c r="N4283" s="9"/>
      <c r="O4283" s="2">
        <v>0</v>
      </c>
      <c r="P4283" s="9"/>
      <c r="Q4283" s="2">
        <f t="shared" si="117"/>
        <v>0</v>
      </c>
    </row>
    <row r="4284" spans="1:17" ht="11.85" hidden="1" customHeight="1" x14ac:dyDescent="0.2">
      <c r="A4284" s="3" t="s">
        <v>1700</v>
      </c>
      <c r="C4284" s="2">
        <v>0</v>
      </c>
      <c r="E4284" s="2">
        <v>0</v>
      </c>
      <c r="G4284" s="2">
        <v>0</v>
      </c>
      <c r="I4284" s="2">
        <v>0</v>
      </c>
      <c r="K4284" s="2">
        <v>0</v>
      </c>
      <c r="L4284" s="9"/>
      <c r="M4284" s="2">
        <v>0</v>
      </c>
      <c r="N4284" s="9"/>
      <c r="O4284" s="2">
        <v>0</v>
      </c>
      <c r="P4284" s="9"/>
      <c r="Q4284" s="2">
        <f t="shared" si="117"/>
        <v>0</v>
      </c>
    </row>
    <row r="4285" spans="1:17" ht="11.85" customHeight="1" x14ac:dyDescent="0.2">
      <c r="A4285" s="3" t="s">
        <v>1701</v>
      </c>
      <c r="C4285" s="2">
        <v>0</v>
      </c>
      <c r="E4285" s="2">
        <v>0</v>
      </c>
      <c r="G4285" s="2">
        <v>0</v>
      </c>
      <c r="I4285" s="2">
        <v>0</v>
      </c>
      <c r="K4285" s="2">
        <v>0</v>
      </c>
      <c r="L4285" s="9"/>
      <c r="M4285" s="2">
        <v>0</v>
      </c>
      <c r="N4285" s="9"/>
      <c r="O4285" s="2">
        <v>0</v>
      </c>
      <c r="P4285" s="9"/>
      <c r="Q4285" s="2">
        <f t="shared" si="117"/>
        <v>0</v>
      </c>
    </row>
    <row r="4286" spans="1:17" ht="11.85" customHeight="1" x14ac:dyDescent="0.2">
      <c r="A4286" s="3" t="s">
        <v>1702</v>
      </c>
      <c r="C4286" s="2">
        <v>1661.85</v>
      </c>
      <c r="E4286" s="2">
        <v>1822.46</v>
      </c>
      <c r="G4286" s="2">
        <v>1791.38</v>
      </c>
      <c r="I4286" s="2">
        <v>1600</v>
      </c>
      <c r="K4286" s="2">
        <v>1600</v>
      </c>
      <c r="L4286" s="9"/>
      <c r="M4286" s="2">
        <v>1600</v>
      </c>
      <c r="N4286" s="9"/>
      <c r="O4286" s="2">
        <v>0</v>
      </c>
      <c r="P4286" s="9"/>
      <c r="Q4286" s="2">
        <f t="shared" si="117"/>
        <v>1600</v>
      </c>
    </row>
    <row r="4287" spans="1:17" ht="11.85" customHeight="1" x14ac:dyDescent="0.2">
      <c r="A4287" s="3" t="s">
        <v>1703</v>
      </c>
      <c r="C4287" s="2">
        <v>1050</v>
      </c>
      <c r="E4287" s="2">
        <v>1156.6600000000001</v>
      </c>
      <c r="G4287" s="2">
        <v>960</v>
      </c>
      <c r="I4287" s="2">
        <v>500</v>
      </c>
      <c r="K4287" s="2">
        <v>500</v>
      </c>
      <c r="L4287" s="9"/>
      <c r="M4287" s="2">
        <v>500</v>
      </c>
      <c r="N4287" s="9"/>
      <c r="O4287" s="2">
        <v>0</v>
      </c>
      <c r="P4287" s="9"/>
      <c r="Q4287" s="2">
        <f t="shared" si="117"/>
        <v>500</v>
      </c>
    </row>
    <row r="4288" spans="1:17" ht="11.85" hidden="1" customHeight="1" x14ac:dyDescent="0.2">
      <c r="A4288" s="3" t="s">
        <v>1704</v>
      </c>
      <c r="C4288" s="2">
        <v>0</v>
      </c>
      <c r="E4288" s="2">
        <v>0</v>
      </c>
      <c r="G4288" s="2">
        <v>0</v>
      </c>
      <c r="I4288" s="2">
        <v>0</v>
      </c>
      <c r="K4288" s="2">
        <v>0</v>
      </c>
      <c r="L4288" s="9"/>
      <c r="M4288" s="2">
        <v>0</v>
      </c>
      <c r="N4288" s="9"/>
      <c r="O4288" s="2">
        <v>0</v>
      </c>
      <c r="P4288" s="9"/>
      <c r="Q4288" s="2">
        <f t="shared" si="117"/>
        <v>0</v>
      </c>
    </row>
    <row r="4289" spans="1:22" ht="11.85" hidden="1" customHeight="1" x14ac:dyDescent="0.2">
      <c r="A4289" s="3" t="s">
        <v>1705</v>
      </c>
      <c r="C4289" s="2">
        <v>0</v>
      </c>
      <c r="E4289" s="2">
        <v>0</v>
      </c>
      <c r="G4289" s="2">
        <v>0</v>
      </c>
      <c r="I4289" s="2">
        <v>0</v>
      </c>
      <c r="K4289" s="2">
        <v>0</v>
      </c>
      <c r="L4289" s="9"/>
      <c r="M4289" s="2">
        <v>0</v>
      </c>
      <c r="N4289" s="9"/>
      <c r="O4289" s="2">
        <v>0</v>
      </c>
      <c r="P4289" s="9"/>
      <c r="Q4289" s="2">
        <f t="shared" si="117"/>
        <v>0</v>
      </c>
    </row>
    <row r="4290" spans="1:22" ht="11.85" customHeight="1" x14ac:dyDescent="0.2">
      <c r="A4290" s="3" t="s">
        <v>1706</v>
      </c>
      <c r="C4290" s="12">
        <v>6815.9</v>
      </c>
      <c r="E4290" s="12">
        <v>9048.56</v>
      </c>
      <c r="G4290" s="12">
        <v>49719.06</v>
      </c>
      <c r="I4290" s="12">
        <v>30000</v>
      </c>
      <c r="K4290" s="12">
        <f>30000+22000</f>
        <v>52000</v>
      </c>
      <c r="L4290" s="9"/>
      <c r="M4290" s="12">
        <v>30000</v>
      </c>
      <c r="N4290" s="9"/>
      <c r="O4290" s="12">
        <v>0</v>
      </c>
      <c r="P4290" s="9"/>
      <c r="Q4290" s="12">
        <f t="shared" si="117"/>
        <v>30000</v>
      </c>
    </row>
    <row r="4291" spans="1:22" ht="11.85" customHeight="1" x14ac:dyDescent="0.2">
      <c r="A4291" s="3" t="s">
        <v>1337</v>
      </c>
      <c r="C4291" s="2">
        <f>SUM(C4274:C4290)</f>
        <v>208629.06</v>
      </c>
      <c r="E4291" s="2">
        <f>SUM(E4274:E4290)</f>
        <v>237089.38999999998</v>
      </c>
      <c r="G4291" s="2">
        <f>SUM(G4274:G4290)</f>
        <v>300267.82999999996</v>
      </c>
      <c r="I4291" s="2">
        <f>SUM(I4274:I4290)</f>
        <v>283900</v>
      </c>
      <c r="K4291" s="2">
        <f>SUM(K4274:K4290)</f>
        <v>305900</v>
      </c>
      <c r="L4291" s="9"/>
      <c r="M4291" s="2">
        <f>SUM(M4274:M4290)</f>
        <v>280900</v>
      </c>
      <c r="N4291" s="9"/>
      <c r="O4291" s="2">
        <f>SUM(O4274:O4290)</f>
        <v>0</v>
      </c>
      <c r="P4291" s="9"/>
      <c r="Q4291" s="2">
        <f>SUM(Q4274:Q4290)</f>
        <v>280900</v>
      </c>
      <c r="U4291" s="9"/>
    </row>
    <row r="4292" spans="1:22" ht="11.85" customHeight="1" x14ac:dyDescent="0.2">
      <c r="L4292" s="9"/>
      <c r="N4292" s="9"/>
      <c r="P4292" s="9"/>
    </row>
    <row r="4293" spans="1:22" ht="11.85" customHeight="1" x14ac:dyDescent="0.2">
      <c r="A4293" s="10" t="s">
        <v>244</v>
      </c>
      <c r="L4293" s="9"/>
      <c r="N4293" s="9"/>
      <c r="P4293" s="9"/>
    </row>
    <row r="4294" spans="1:22" ht="11.85" customHeight="1" x14ac:dyDescent="0.2">
      <c r="A4294" s="3" t="s">
        <v>1707</v>
      </c>
      <c r="C4294" s="2">
        <v>0</v>
      </c>
      <c r="E4294" s="2">
        <v>0</v>
      </c>
      <c r="G4294" s="2">
        <v>0</v>
      </c>
      <c r="I4294" s="2">
        <v>0</v>
      </c>
      <c r="K4294" s="2">
        <v>0</v>
      </c>
      <c r="L4294" s="9"/>
      <c r="M4294" s="2">
        <v>0</v>
      </c>
      <c r="N4294" s="9"/>
      <c r="O4294" s="2">
        <v>0</v>
      </c>
      <c r="P4294" s="9"/>
      <c r="Q4294" s="2">
        <f>M4294+O4294</f>
        <v>0</v>
      </c>
    </row>
    <row r="4295" spans="1:22" ht="11.85" hidden="1" customHeight="1" x14ac:dyDescent="0.2">
      <c r="A4295" s="3" t="s">
        <v>1708</v>
      </c>
      <c r="C4295" s="2">
        <v>0</v>
      </c>
      <c r="E4295" s="2">
        <v>0</v>
      </c>
      <c r="G4295" s="2">
        <v>0</v>
      </c>
      <c r="I4295" s="2">
        <v>0</v>
      </c>
      <c r="K4295" s="2">
        <v>0</v>
      </c>
      <c r="L4295" s="9"/>
      <c r="M4295" s="2">
        <v>0</v>
      </c>
      <c r="N4295" s="9"/>
      <c r="O4295" s="2">
        <v>0</v>
      </c>
      <c r="P4295" s="9"/>
      <c r="Q4295" s="2">
        <f t="shared" ref="Q4295:Q4300" si="118">M4295+O4295</f>
        <v>0</v>
      </c>
    </row>
    <row r="4296" spans="1:22" ht="11.85" customHeight="1" x14ac:dyDescent="0.2">
      <c r="A4296" s="3" t="s">
        <v>1709</v>
      </c>
      <c r="C4296" s="2">
        <v>0</v>
      </c>
      <c r="E4296" s="2">
        <v>0</v>
      </c>
      <c r="G4296" s="2">
        <v>54999</v>
      </c>
      <c r="I4296" s="2">
        <v>75000</v>
      </c>
      <c r="K4296" s="2">
        <v>75000</v>
      </c>
      <c r="L4296" s="9"/>
      <c r="M4296" s="2">
        <v>75000</v>
      </c>
      <c r="N4296" s="9"/>
      <c r="O4296" s="2">
        <v>0</v>
      </c>
      <c r="P4296" s="9"/>
      <c r="Q4296" s="2">
        <f t="shared" si="118"/>
        <v>75000</v>
      </c>
    </row>
    <row r="4297" spans="1:22" ht="11.85" hidden="1" customHeight="1" x14ac:dyDescent="0.2">
      <c r="A4297" s="3" t="s">
        <v>1710</v>
      </c>
      <c r="C4297" s="2">
        <v>0</v>
      </c>
      <c r="E4297" s="2">
        <v>0</v>
      </c>
      <c r="G4297" s="2">
        <v>0</v>
      </c>
      <c r="I4297" s="2">
        <v>0</v>
      </c>
      <c r="K4297" s="2">
        <v>0</v>
      </c>
      <c r="L4297" s="9"/>
      <c r="M4297" s="2">
        <v>0</v>
      </c>
      <c r="N4297" s="9"/>
      <c r="O4297" s="2">
        <v>0</v>
      </c>
      <c r="P4297" s="9"/>
      <c r="Q4297" s="2">
        <f t="shared" si="118"/>
        <v>0</v>
      </c>
    </row>
    <row r="4298" spans="1:22" ht="11.85" customHeight="1" x14ac:dyDescent="0.2">
      <c r="A4298" s="3" t="s">
        <v>1711</v>
      </c>
      <c r="C4298" s="2">
        <v>379992</v>
      </c>
      <c r="E4298" s="2">
        <v>400008</v>
      </c>
      <c r="G4298" s="2">
        <v>245000</v>
      </c>
      <c r="I4298" s="2">
        <v>245000</v>
      </c>
      <c r="K4298" s="2">
        <v>245000</v>
      </c>
      <c r="L4298" s="9"/>
      <c r="M4298" s="2">
        <v>185000</v>
      </c>
      <c r="N4298" s="9"/>
      <c r="O4298" s="2">
        <v>0</v>
      </c>
      <c r="P4298" s="9"/>
      <c r="Q4298" s="2">
        <f t="shared" si="118"/>
        <v>185000</v>
      </c>
    </row>
    <row r="4299" spans="1:22" ht="11.85" customHeight="1" x14ac:dyDescent="0.2">
      <c r="A4299" s="3" t="s">
        <v>1712</v>
      </c>
      <c r="C4299" s="2">
        <v>0</v>
      </c>
      <c r="E4299" s="2">
        <v>0</v>
      </c>
      <c r="G4299" s="2">
        <v>54999</v>
      </c>
      <c r="I4299" s="2">
        <v>40000</v>
      </c>
      <c r="K4299" s="2">
        <v>40000</v>
      </c>
      <c r="L4299" s="9"/>
      <c r="M4299" s="2">
        <v>40000</v>
      </c>
      <c r="N4299" s="9"/>
      <c r="O4299" s="2">
        <v>10000</v>
      </c>
      <c r="P4299" s="9"/>
      <c r="Q4299" s="2">
        <f t="shared" si="118"/>
        <v>50000</v>
      </c>
    </row>
    <row r="4300" spans="1:22" ht="11.85" customHeight="1" x14ac:dyDescent="0.2">
      <c r="A4300" s="3" t="s">
        <v>1713</v>
      </c>
      <c r="C4300" s="2">
        <v>0</v>
      </c>
      <c r="E4300" s="2">
        <v>0</v>
      </c>
      <c r="G4300" s="2">
        <v>35004</v>
      </c>
      <c r="I4300" s="2">
        <v>40000</v>
      </c>
      <c r="K4300" s="2">
        <v>40000</v>
      </c>
      <c r="L4300" s="9"/>
      <c r="M4300" s="2">
        <v>40000</v>
      </c>
      <c r="N4300" s="9"/>
      <c r="O4300" s="2">
        <v>0</v>
      </c>
      <c r="P4300" s="9"/>
      <c r="Q4300" s="2">
        <f t="shared" si="118"/>
        <v>40000</v>
      </c>
    </row>
    <row r="4301" spans="1:22" ht="11.85" customHeight="1" x14ac:dyDescent="0.2">
      <c r="A4301" s="3" t="s">
        <v>1714</v>
      </c>
      <c r="C4301" s="12">
        <v>0</v>
      </c>
      <c r="E4301" s="12">
        <v>0</v>
      </c>
      <c r="G4301" s="12">
        <v>0</v>
      </c>
      <c r="I4301" s="12">
        <v>0</v>
      </c>
      <c r="K4301" s="12">
        <v>0</v>
      </c>
      <c r="L4301" s="9"/>
      <c r="M4301" s="12">
        <v>0</v>
      </c>
      <c r="N4301" s="9"/>
      <c r="O4301" s="12">
        <v>0</v>
      </c>
      <c r="P4301" s="9"/>
      <c r="Q4301" s="12">
        <f>M4301+O4301</f>
        <v>0</v>
      </c>
    </row>
    <row r="4302" spans="1:22" ht="11.85" customHeight="1" x14ac:dyDescent="0.2">
      <c r="A4302" s="3" t="s">
        <v>258</v>
      </c>
      <c r="C4302" s="2">
        <f>SUM(C4294:C4301)</f>
        <v>379992</v>
      </c>
      <c r="E4302" s="2">
        <f>SUM(E4294:E4301)</f>
        <v>400008</v>
      </c>
      <c r="G4302" s="2">
        <f>SUM(G4294:G4301)</f>
        <v>390002</v>
      </c>
      <c r="I4302" s="2">
        <f>SUM(I4294:I4301)</f>
        <v>400000</v>
      </c>
      <c r="K4302" s="2">
        <f>SUM(K4294:K4301)</f>
        <v>400000</v>
      </c>
      <c r="L4302" s="9"/>
      <c r="M4302" s="2">
        <f>SUM(M4294:M4301)</f>
        <v>340000</v>
      </c>
      <c r="N4302" s="9"/>
      <c r="O4302" s="2">
        <f>SUM(O4294:O4301)</f>
        <v>10000</v>
      </c>
      <c r="P4302" s="9"/>
      <c r="Q4302" s="2">
        <f>SUM(Q4294:Q4301)</f>
        <v>350000</v>
      </c>
      <c r="R4302" s="9"/>
      <c r="U4302" s="9"/>
    </row>
    <row r="4303" spans="1:22" ht="11.85" customHeight="1" x14ac:dyDescent="0.2">
      <c r="L4303" s="9"/>
      <c r="N4303" s="9"/>
      <c r="P4303" s="9"/>
    </row>
    <row r="4304" spans="1:22" ht="11.85" customHeight="1" thickBot="1" x14ac:dyDescent="0.25">
      <c r="A4304" s="3" t="s">
        <v>270</v>
      </c>
      <c r="C4304" s="25">
        <f>C4271+C4291+C4302</f>
        <v>591964.92999999993</v>
      </c>
      <c r="E4304" s="25">
        <f>E4271+E4291+E4302</f>
        <v>643072.27</v>
      </c>
      <c r="G4304" s="25">
        <f>G4271+G4291+G4302</f>
        <v>701982.62999999989</v>
      </c>
      <c r="I4304" s="25">
        <f>I4271+I4291+I4302</f>
        <v>683900</v>
      </c>
      <c r="K4304" s="25">
        <f>K4271+K4291+K4302</f>
        <v>705900</v>
      </c>
      <c r="L4304" s="9"/>
      <c r="M4304" s="25">
        <f>M4271+M4291+M4302</f>
        <v>623900</v>
      </c>
      <c r="N4304" s="9"/>
      <c r="O4304" s="25">
        <f>O4271+O4291+O4302</f>
        <v>10000</v>
      </c>
      <c r="P4304" s="9"/>
      <c r="Q4304" s="25">
        <f>Q4271+Q4291+Q4302</f>
        <v>633900</v>
      </c>
      <c r="T4304" s="14"/>
      <c r="U4304" s="9"/>
      <c r="V4304" s="9"/>
    </row>
    <row r="4305" spans="1:20" ht="11.85" customHeight="1" thickTop="1" x14ac:dyDescent="0.2">
      <c r="L4305" s="9"/>
      <c r="N4305" s="9"/>
      <c r="P4305" s="9"/>
    </row>
    <row r="4306" spans="1:20" ht="11.85" customHeight="1" x14ac:dyDescent="0.2">
      <c r="A4306" s="3" t="s">
        <v>271</v>
      </c>
      <c r="C4306" s="2">
        <f>C4265+C4304</f>
        <v>819047.85</v>
      </c>
      <c r="E4306" s="2">
        <f>E4265+E4304</f>
        <v>885838.65</v>
      </c>
      <c r="G4306" s="2">
        <f>G4265+G4304</f>
        <v>962023.75999999989</v>
      </c>
      <c r="I4306" s="2">
        <f>I4265+I4304</f>
        <v>902798.96999999986</v>
      </c>
      <c r="K4306" s="2">
        <f>K4265+K4304</f>
        <v>924798.96999999986</v>
      </c>
      <c r="L4306" s="9"/>
      <c r="M4306" s="2">
        <f>M4265+M4304</f>
        <v>875218.96999999986</v>
      </c>
      <c r="N4306" s="9"/>
      <c r="P4306" s="9"/>
      <c r="Q4306" s="2">
        <f>Q4265+Q4304</f>
        <v>885218.96999999986</v>
      </c>
      <c r="T4306" s="14"/>
    </row>
    <row r="4307" spans="1:20" ht="11.85" customHeight="1" x14ac:dyDescent="0.2">
      <c r="L4307" s="9"/>
      <c r="N4307" s="9"/>
      <c r="P4307" s="9"/>
    </row>
    <row r="4308" spans="1:20" ht="11.85" customHeight="1" x14ac:dyDescent="0.2">
      <c r="L4308" s="9"/>
      <c r="N4308" s="9"/>
      <c r="P4308" s="9"/>
    </row>
    <row r="4309" spans="1:20" ht="11.85" customHeight="1" x14ac:dyDescent="0.2">
      <c r="L4309" s="9"/>
      <c r="N4309" s="9"/>
      <c r="P4309" s="9"/>
    </row>
    <row r="4310" spans="1:20" ht="11.85" customHeight="1" x14ac:dyDescent="0.2">
      <c r="L4310" s="9"/>
      <c r="N4310" s="9"/>
      <c r="P4310" s="9"/>
    </row>
    <row r="4311" spans="1:20" ht="11.85" customHeight="1" x14ac:dyDescent="0.2">
      <c r="L4311" s="9"/>
      <c r="N4311" s="9"/>
      <c r="P4311" s="9"/>
    </row>
    <row r="4312" spans="1:20" ht="11.85" customHeight="1" x14ac:dyDescent="0.2">
      <c r="L4312" s="9"/>
      <c r="N4312" s="9"/>
      <c r="P4312" s="9"/>
    </row>
    <row r="4313" spans="1:20" ht="11.85" customHeight="1" x14ac:dyDescent="0.2">
      <c r="L4313" s="9"/>
      <c r="N4313" s="9"/>
      <c r="P4313" s="9"/>
    </row>
    <row r="4314" spans="1:20" ht="11.85" customHeight="1" x14ac:dyDescent="0.2">
      <c r="L4314" s="9"/>
      <c r="N4314" s="9"/>
      <c r="P4314" s="9"/>
    </row>
    <row r="4315" spans="1:20" ht="11.85" customHeight="1" x14ac:dyDescent="0.2">
      <c r="L4315" s="9"/>
      <c r="N4315" s="9"/>
      <c r="P4315" s="9"/>
    </row>
    <row r="4316" spans="1:20" ht="11.85" customHeight="1" x14ac:dyDescent="0.2">
      <c r="L4316" s="9"/>
      <c r="N4316" s="9"/>
      <c r="P4316" s="9"/>
    </row>
    <row r="4317" spans="1:20" ht="11.85" customHeight="1" x14ac:dyDescent="0.2">
      <c r="L4317" s="9"/>
      <c r="N4317" s="9"/>
      <c r="P4317" s="9"/>
    </row>
    <row r="4318" spans="1:20" ht="11.85" customHeight="1" x14ac:dyDescent="0.2">
      <c r="L4318" s="9"/>
      <c r="N4318" s="9"/>
      <c r="P4318" s="9"/>
    </row>
    <row r="4319" spans="1:20" ht="11.85" customHeight="1" x14ac:dyDescent="0.2">
      <c r="L4319" s="9"/>
      <c r="N4319" s="9"/>
      <c r="P4319" s="9"/>
    </row>
    <row r="4320" spans="1:20" ht="11.85" customHeight="1" x14ac:dyDescent="0.2">
      <c r="L4320" s="9"/>
      <c r="N4320" s="9"/>
      <c r="P4320" s="9"/>
    </row>
    <row r="4321" spans="1:20" ht="11.85" customHeight="1" x14ac:dyDescent="0.2">
      <c r="L4321" s="9"/>
      <c r="N4321" s="9"/>
      <c r="P4321" s="9"/>
    </row>
    <row r="4322" spans="1:20" ht="11.85" customHeight="1" x14ac:dyDescent="0.2">
      <c r="A4322" s="1"/>
      <c r="B4322" s="1"/>
      <c r="E4322" s="2" t="str">
        <f>$E$1</f>
        <v>CITY OF BRADY</v>
      </c>
    </row>
    <row r="4323" spans="1:20" ht="11.85" customHeight="1" x14ac:dyDescent="0.2">
      <c r="E4323" s="2" t="str">
        <f>$E$2</f>
        <v>BUDGET REPORT</v>
      </c>
    </row>
    <row r="4324" spans="1:20" ht="11.85" customHeight="1" x14ac:dyDescent="0.2">
      <c r="E4324" s="2" t="str">
        <f>$E$3</f>
        <v>FISCAL YEAR 2024 - 2025</v>
      </c>
    </row>
    <row r="4325" spans="1:20" ht="11.85" customHeight="1" x14ac:dyDescent="0.2">
      <c r="A4325" s="3" t="s">
        <v>1688</v>
      </c>
    </row>
    <row r="4326" spans="1:20" ht="11.85" customHeight="1" x14ac:dyDescent="0.2">
      <c r="A4326" s="3" t="s">
        <v>1715</v>
      </c>
    </row>
    <row r="4327" spans="1:20" ht="11.85" customHeight="1" x14ac:dyDescent="0.2">
      <c r="I4327" s="53" t="str">
        <f>$I$6</f>
        <v>(----- 2023-2024------)</v>
      </c>
      <c r="J4327" s="53"/>
      <c r="K4327" s="53"/>
      <c r="L4327" s="6"/>
      <c r="M4327" s="54" t="str">
        <f>$M$6</f>
        <v>2024-2025</v>
      </c>
      <c r="N4327" s="54"/>
      <c r="O4327" s="54"/>
      <c r="P4327" s="54"/>
      <c r="Q4327" s="54"/>
    </row>
    <row r="4328" spans="1:20" ht="11.85" customHeight="1" x14ac:dyDescent="0.2">
      <c r="C4328" s="5" t="str">
        <f>$C$7</f>
        <v>2020-2021</v>
      </c>
      <c r="D4328" s="5"/>
      <c r="E4328" s="5" t="str">
        <f>$E$7</f>
        <v>2021-2022</v>
      </c>
      <c r="F4328" s="5"/>
      <c r="G4328" s="5" t="str">
        <f>$G$7</f>
        <v>2022-2023</v>
      </c>
      <c r="H4328" s="5"/>
      <c r="I4328" s="5" t="s">
        <v>9</v>
      </c>
      <c r="J4328" s="5"/>
      <c r="K4328" s="5" t="str">
        <f>+$K$7</f>
        <v>PROJECTED</v>
      </c>
      <c r="L4328" s="6"/>
      <c r="M4328" s="5">
        <f>$M$7</f>
        <v>0</v>
      </c>
      <c r="N4328" s="6"/>
      <c r="O4328" s="5" t="str">
        <f>$O$7</f>
        <v>2024-2025</v>
      </c>
      <c r="P4328" s="6"/>
      <c r="Q4328" s="5" t="str">
        <f>$Q$7</f>
        <v>APPROVED</v>
      </c>
    </row>
    <row r="4329" spans="1:20" ht="11.85" customHeight="1" x14ac:dyDescent="0.2">
      <c r="A4329" s="7" t="s">
        <v>273</v>
      </c>
      <c r="C4329" s="8" t="s">
        <v>12</v>
      </c>
      <c r="D4329" s="5"/>
      <c r="E4329" s="8" t="s">
        <v>12</v>
      </c>
      <c r="F4329" s="5"/>
      <c r="G4329" s="8" t="s">
        <v>12</v>
      </c>
      <c r="H4329" s="5"/>
      <c r="I4329" s="8" t="s">
        <v>13</v>
      </c>
      <c r="J4329" s="5"/>
      <c r="K4329" s="8" t="s">
        <v>13</v>
      </c>
      <c r="L4329" s="6"/>
      <c r="M4329" s="8" t="str">
        <f>$M$8</f>
        <v>BASE</v>
      </c>
      <c r="N4329" s="6"/>
      <c r="O4329" s="8" t="str">
        <f>$O$8</f>
        <v>SUPPLEMENTAL</v>
      </c>
      <c r="P4329" s="6"/>
      <c r="Q4329" s="8" t="str">
        <f>$Q$8</f>
        <v>BUDGET</v>
      </c>
    </row>
    <row r="4330" spans="1:20" ht="11.85" customHeight="1" x14ac:dyDescent="0.2"/>
    <row r="4331" spans="1:20" ht="11.85" customHeight="1" x14ac:dyDescent="0.2">
      <c r="A4331" s="10" t="s">
        <v>274</v>
      </c>
    </row>
    <row r="4332" spans="1:20" ht="11.85" customHeight="1" x14ac:dyDescent="0.2">
      <c r="A4332" s="3" t="s">
        <v>1716</v>
      </c>
      <c r="C4332" s="2">
        <v>36973.440000000002</v>
      </c>
      <c r="E4332" s="2">
        <v>39291.21</v>
      </c>
      <c r="G4332" s="2">
        <v>42178.82</v>
      </c>
      <c r="I4332" s="2">
        <v>43941</v>
      </c>
      <c r="K4332" s="2">
        <v>43941</v>
      </c>
      <c r="L4332" s="9"/>
      <c r="M4332" s="2">
        <v>45269</v>
      </c>
      <c r="N4332" s="9"/>
      <c r="O4332" s="2">
        <v>0</v>
      </c>
      <c r="P4332" s="9"/>
      <c r="Q4332" s="2">
        <f t="shared" ref="Q4332:Q4340" si="119">M4332+O4332</f>
        <v>45269</v>
      </c>
      <c r="T4332" s="11"/>
    </row>
    <row r="4333" spans="1:20" ht="11.85" customHeight="1" x14ac:dyDescent="0.2">
      <c r="A4333" s="3" t="s">
        <v>1717</v>
      </c>
      <c r="C4333" s="2">
        <v>0</v>
      </c>
      <c r="E4333" s="2">
        <v>0</v>
      </c>
      <c r="G4333" s="2">
        <v>0</v>
      </c>
      <c r="I4333" s="2">
        <v>100</v>
      </c>
      <c r="K4333" s="2">
        <f>100+2000</f>
        <v>2100</v>
      </c>
      <c r="L4333" s="9"/>
      <c r="M4333" s="2">
        <v>100</v>
      </c>
      <c r="N4333" s="9"/>
      <c r="O4333" s="2">
        <v>0</v>
      </c>
      <c r="P4333" s="9"/>
      <c r="Q4333" s="2">
        <f t="shared" si="119"/>
        <v>100</v>
      </c>
      <c r="T4333" s="11"/>
    </row>
    <row r="4334" spans="1:20" ht="11.85" customHeight="1" x14ac:dyDescent="0.2">
      <c r="A4334" s="3" t="s">
        <v>1718</v>
      </c>
      <c r="C4334" s="2">
        <v>450</v>
      </c>
      <c r="E4334" s="2">
        <v>1200</v>
      </c>
      <c r="G4334" s="2">
        <v>1200</v>
      </c>
      <c r="I4334" s="2">
        <v>1200</v>
      </c>
      <c r="K4334" s="2">
        <v>1200</v>
      </c>
      <c r="L4334" s="9"/>
      <c r="M4334" s="2">
        <v>1200</v>
      </c>
      <c r="N4334" s="9"/>
      <c r="O4334" s="2">
        <v>0</v>
      </c>
      <c r="P4334" s="9"/>
      <c r="Q4334" s="2">
        <f t="shared" si="119"/>
        <v>1200</v>
      </c>
      <c r="T4334" s="11"/>
    </row>
    <row r="4335" spans="1:20" ht="11.85" customHeight="1" x14ac:dyDescent="0.2">
      <c r="A4335" s="3" t="s">
        <v>1719</v>
      </c>
      <c r="C4335" s="2">
        <v>11157.87</v>
      </c>
      <c r="E4335" s="2">
        <v>10794.48</v>
      </c>
      <c r="G4335" s="2">
        <v>10938.49</v>
      </c>
      <c r="I4335" s="2">
        <v>11460</v>
      </c>
      <c r="K4335" s="2">
        <f>11460-2000</f>
        <v>9460</v>
      </c>
      <c r="L4335" s="9"/>
      <c r="M4335" s="2">
        <v>10141</v>
      </c>
      <c r="N4335" s="9"/>
      <c r="O4335" s="2">
        <v>0</v>
      </c>
      <c r="P4335" s="9"/>
      <c r="Q4335" s="2">
        <f t="shared" si="119"/>
        <v>10141</v>
      </c>
      <c r="T4335" s="11"/>
    </row>
    <row r="4336" spans="1:20" ht="11.85" hidden="1" customHeight="1" x14ac:dyDescent="0.2">
      <c r="A4336" s="3" t="s">
        <v>1720</v>
      </c>
      <c r="C4336" s="2">
        <v>0</v>
      </c>
      <c r="E4336" s="2">
        <v>0</v>
      </c>
      <c r="G4336" s="2">
        <v>0</v>
      </c>
      <c r="I4336" s="2">
        <v>0</v>
      </c>
      <c r="K4336" s="2">
        <v>0</v>
      </c>
      <c r="L4336" s="9"/>
      <c r="M4336" s="2">
        <v>0</v>
      </c>
      <c r="N4336" s="9"/>
      <c r="O4336" s="2">
        <v>0</v>
      </c>
      <c r="P4336" s="9"/>
      <c r="Q4336" s="2">
        <f t="shared" si="119"/>
        <v>0</v>
      </c>
      <c r="T4336" s="11"/>
    </row>
    <row r="4337" spans="1:21" ht="11.85" customHeight="1" x14ac:dyDescent="0.2">
      <c r="A4337" s="3" t="s">
        <v>1721</v>
      </c>
      <c r="C4337" s="2">
        <v>3761.25</v>
      </c>
      <c r="E4337" s="2">
        <v>3933.88</v>
      </c>
      <c r="G4337" s="2">
        <v>4254.55</v>
      </c>
      <c r="I4337" s="2">
        <v>4385</v>
      </c>
      <c r="K4337" s="2">
        <v>4385</v>
      </c>
      <c r="L4337" s="9"/>
      <c r="M4337" s="2">
        <v>4406</v>
      </c>
      <c r="N4337" s="9"/>
      <c r="O4337" s="2">
        <v>0</v>
      </c>
      <c r="P4337" s="9"/>
      <c r="Q4337" s="2">
        <f t="shared" si="119"/>
        <v>4406</v>
      </c>
      <c r="T4337" s="11"/>
    </row>
    <row r="4338" spans="1:21" ht="11.85" customHeight="1" x14ac:dyDescent="0.2">
      <c r="A4338" s="3" t="s">
        <v>1722</v>
      </c>
      <c r="C4338" s="2">
        <v>628.44000000000005</v>
      </c>
      <c r="E4338" s="2">
        <v>692.24</v>
      </c>
      <c r="G4338" s="2">
        <v>777.99</v>
      </c>
      <c r="I4338" s="2">
        <v>914</v>
      </c>
      <c r="K4338" s="2">
        <v>914</v>
      </c>
      <c r="L4338" s="9"/>
      <c r="M4338" s="2">
        <v>915</v>
      </c>
      <c r="N4338" s="9"/>
      <c r="O4338" s="2">
        <v>0</v>
      </c>
      <c r="P4338" s="9"/>
      <c r="Q4338" s="2">
        <f t="shared" si="119"/>
        <v>915</v>
      </c>
      <c r="T4338" s="11"/>
    </row>
    <row r="4339" spans="1:21" ht="11.85" customHeight="1" x14ac:dyDescent="0.2">
      <c r="A4339" s="3" t="s">
        <v>1723</v>
      </c>
      <c r="C4339" s="2">
        <v>252</v>
      </c>
      <c r="E4339" s="2">
        <v>9</v>
      </c>
      <c r="G4339" s="2">
        <v>9</v>
      </c>
      <c r="I4339" s="2">
        <v>84</v>
      </c>
      <c r="K4339" s="2">
        <v>84</v>
      </c>
      <c r="L4339" s="9"/>
      <c r="M4339" s="2">
        <v>90</v>
      </c>
      <c r="N4339" s="9"/>
      <c r="O4339" s="2">
        <v>0</v>
      </c>
      <c r="P4339" s="9"/>
      <c r="Q4339" s="2">
        <f t="shared" si="119"/>
        <v>90</v>
      </c>
      <c r="T4339" s="11"/>
    </row>
    <row r="4340" spans="1:21" ht="11.85" customHeight="1" x14ac:dyDescent="0.2">
      <c r="A4340" s="3" t="s">
        <v>1724</v>
      </c>
      <c r="C4340" s="12">
        <v>2782.83</v>
      </c>
      <c r="E4340" s="12">
        <v>3241.82</v>
      </c>
      <c r="G4340" s="12">
        <v>3351.86</v>
      </c>
      <c r="I4340" s="12">
        <v>3435</v>
      </c>
      <c r="K4340" s="12">
        <v>3435</v>
      </c>
      <c r="L4340" s="9"/>
      <c r="M4340" s="12">
        <v>3539</v>
      </c>
      <c r="N4340" s="9"/>
      <c r="O4340" s="12">
        <v>0</v>
      </c>
      <c r="P4340" s="9"/>
      <c r="Q4340" s="12">
        <f t="shared" si="119"/>
        <v>3539</v>
      </c>
      <c r="T4340" s="11"/>
    </row>
    <row r="4341" spans="1:21" ht="11.85" customHeight="1" x14ac:dyDescent="0.2">
      <c r="A4341" s="3" t="s">
        <v>285</v>
      </c>
      <c r="C4341" s="2">
        <f>SUM(C4332:C4340)</f>
        <v>56005.830000000009</v>
      </c>
      <c r="E4341" s="2">
        <f>SUM(E4332:E4340)</f>
        <v>59162.63</v>
      </c>
      <c r="G4341" s="2">
        <f>SUM(G4332:G4340)</f>
        <v>62710.71</v>
      </c>
      <c r="I4341" s="2">
        <f>SUM(I4332:I4340)</f>
        <v>65519</v>
      </c>
      <c r="K4341" s="2">
        <f>SUM(K4332:K4340)</f>
        <v>65519</v>
      </c>
      <c r="L4341" s="9"/>
      <c r="M4341" s="2">
        <f>SUM(M4332:M4340)</f>
        <v>65660</v>
      </c>
      <c r="N4341" s="9"/>
      <c r="O4341" s="2">
        <f>SUM(O4332:O4340)</f>
        <v>0</v>
      </c>
      <c r="P4341" s="9"/>
      <c r="Q4341" s="2">
        <f>SUM(Q4332:Q4340)</f>
        <v>65660</v>
      </c>
      <c r="R4341" s="9"/>
      <c r="T4341" s="14"/>
      <c r="U4341" s="9"/>
    </row>
    <row r="4342" spans="1:21" ht="11.85" customHeight="1" x14ac:dyDescent="0.2">
      <c r="L4342" s="9"/>
      <c r="N4342" s="9"/>
      <c r="P4342" s="9"/>
    </row>
    <row r="4343" spans="1:21" ht="11.85" customHeight="1" x14ac:dyDescent="0.2">
      <c r="A4343" s="10" t="s">
        <v>286</v>
      </c>
      <c r="L4343" s="9"/>
      <c r="N4343" s="9"/>
      <c r="P4343" s="9"/>
    </row>
    <row r="4344" spans="1:21" ht="11.85" customHeight="1" x14ac:dyDescent="0.2">
      <c r="A4344" s="3" t="s">
        <v>1725</v>
      </c>
      <c r="C4344" s="2">
        <v>0</v>
      </c>
      <c r="E4344" s="2">
        <v>0</v>
      </c>
      <c r="G4344" s="2">
        <v>0</v>
      </c>
      <c r="I4344" s="2">
        <v>0</v>
      </c>
      <c r="K4344" s="2">
        <v>0</v>
      </c>
      <c r="L4344" s="9"/>
      <c r="M4344" s="2">
        <v>0</v>
      </c>
      <c r="N4344" s="9"/>
      <c r="O4344" s="2">
        <v>0</v>
      </c>
      <c r="P4344" s="9"/>
      <c r="Q4344" s="2">
        <f t="shared" ref="Q4344:Q4351" si="120">M4344+O4344</f>
        <v>0</v>
      </c>
      <c r="T4344" s="11"/>
    </row>
    <row r="4345" spans="1:21" ht="11.85" customHeight="1" x14ac:dyDescent="0.2">
      <c r="A4345" s="3" t="s">
        <v>1726</v>
      </c>
      <c r="C4345" s="2">
        <v>0</v>
      </c>
      <c r="E4345" s="2">
        <v>0</v>
      </c>
      <c r="G4345" s="2">
        <v>0</v>
      </c>
      <c r="I4345" s="2">
        <v>0</v>
      </c>
      <c r="K4345" s="2">
        <v>0</v>
      </c>
      <c r="L4345" s="9"/>
      <c r="M4345" s="2">
        <v>0</v>
      </c>
      <c r="N4345" s="9"/>
      <c r="O4345" s="2">
        <v>0</v>
      </c>
      <c r="P4345" s="9"/>
      <c r="Q4345" s="2">
        <f t="shared" si="120"/>
        <v>0</v>
      </c>
      <c r="T4345" s="11"/>
    </row>
    <row r="4346" spans="1:21" ht="11.85" customHeight="1" x14ac:dyDescent="0.2">
      <c r="A4346" s="3" t="s">
        <v>1727</v>
      </c>
      <c r="C4346" s="2">
        <v>0</v>
      </c>
      <c r="E4346" s="2">
        <v>0</v>
      </c>
      <c r="G4346" s="2">
        <v>0</v>
      </c>
      <c r="I4346" s="2">
        <v>0</v>
      </c>
      <c r="K4346" s="2">
        <v>0</v>
      </c>
      <c r="L4346" s="9"/>
      <c r="M4346" s="2">
        <v>0</v>
      </c>
      <c r="N4346" s="9"/>
      <c r="O4346" s="2">
        <v>0</v>
      </c>
      <c r="P4346" s="9"/>
      <c r="Q4346" s="2">
        <f t="shared" si="120"/>
        <v>0</v>
      </c>
      <c r="T4346" s="11"/>
    </row>
    <row r="4347" spans="1:21" ht="11.85" customHeight="1" x14ac:dyDescent="0.2">
      <c r="A4347" s="3" t="s">
        <v>1728</v>
      </c>
      <c r="C4347" s="2">
        <v>0</v>
      </c>
      <c r="E4347" s="2">
        <v>0</v>
      </c>
      <c r="G4347" s="2">
        <v>0</v>
      </c>
      <c r="I4347" s="2">
        <v>0</v>
      </c>
      <c r="K4347" s="2">
        <v>0</v>
      </c>
      <c r="L4347" s="9"/>
      <c r="M4347" s="2">
        <v>0</v>
      </c>
      <c r="N4347" s="9"/>
      <c r="O4347" s="2">
        <v>0</v>
      </c>
      <c r="P4347" s="9"/>
      <c r="Q4347" s="2">
        <f t="shared" si="120"/>
        <v>0</v>
      </c>
      <c r="T4347" s="11"/>
    </row>
    <row r="4348" spans="1:21" ht="11.85" customHeight="1" x14ac:dyDescent="0.2">
      <c r="A4348" s="3" t="s">
        <v>1729</v>
      </c>
      <c r="C4348" s="2">
        <v>0</v>
      </c>
      <c r="E4348" s="2">
        <v>0</v>
      </c>
      <c r="G4348" s="2">
        <v>0</v>
      </c>
      <c r="I4348" s="2">
        <v>0</v>
      </c>
      <c r="K4348" s="2">
        <v>0</v>
      </c>
      <c r="L4348" s="9"/>
      <c r="M4348" s="2">
        <v>0</v>
      </c>
      <c r="N4348" s="9"/>
      <c r="O4348" s="2">
        <v>0</v>
      </c>
      <c r="P4348" s="9"/>
      <c r="Q4348" s="2">
        <f t="shared" si="120"/>
        <v>0</v>
      </c>
      <c r="T4348" s="11"/>
    </row>
    <row r="4349" spans="1:21" ht="11.85" customHeight="1" x14ac:dyDescent="0.2">
      <c r="A4349" s="3" t="s">
        <v>1730</v>
      </c>
      <c r="C4349" s="2">
        <v>0</v>
      </c>
      <c r="E4349" s="2">
        <v>0</v>
      </c>
      <c r="G4349" s="2">
        <v>0</v>
      </c>
      <c r="I4349" s="2">
        <v>0</v>
      </c>
      <c r="K4349" s="2">
        <v>0</v>
      </c>
      <c r="L4349" s="9"/>
      <c r="M4349" s="2">
        <v>0</v>
      </c>
      <c r="N4349" s="9"/>
      <c r="O4349" s="2">
        <v>0</v>
      </c>
      <c r="P4349" s="9"/>
      <c r="Q4349" s="2">
        <f t="shared" si="120"/>
        <v>0</v>
      </c>
      <c r="T4349" s="11"/>
    </row>
    <row r="4350" spans="1:21" ht="11.85" customHeight="1" x14ac:dyDescent="0.2">
      <c r="A4350" s="3" t="s">
        <v>1731</v>
      </c>
      <c r="C4350" s="2">
        <v>234.6</v>
      </c>
      <c r="E4350" s="2">
        <v>374.02</v>
      </c>
      <c r="G4350" s="2">
        <v>308.75</v>
      </c>
      <c r="I4350" s="2">
        <v>400</v>
      </c>
      <c r="K4350" s="2">
        <v>400</v>
      </c>
      <c r="L4350" s="9"/>
      <c r="M4350" s="2">
        <v>400</v>
      </c>
      <c r="N4350" s="9"/>
      <c r="O4350" s="2">
        <v>0</v>
      </c>
      <c r="P4350" s="9"/>
      <c r="Q4350" s="2">
        <f t="shared" si="120"/>
        <v>400</v>
      </c>
      <c r="T4350" s="11"/>
    </row>
    <row r="4351" spans="1:21" ht="11.85" customHeight="1" x14ac:dyDescent="0.2">
      <c r="A4351" s="3" t="s">
        <v>1732</v>
      </c>
      <c r="C4351" s="12">
        <v>0</v>
      </c>
      <c r="E4351" s="12">
        <v>5691.32</v>
      </c>
      <c r="G4351" s="12">
        <v>0</v>
      </c>
      <c r="I4351" s="12">
        <v>0</v>
      </c>
      <c r="K4351" s="12">
        <v>0</v>
      </c>
      <c r="L4351" s="9"/>
      <c r="M4351" s="12">
        <v>0</v>
      </c>
      <c r="N4351" s="9"/>
      <c r="O4351" s="12">
        <v>0</v>
      </c>
      <c r="P4351" s="9"/>
      <c r="Q4351" s="12">
        <f t="shared" si="120"/>
        <v>0</v>
      </c>
      <c r="T4351" s="11"/>
    </row>
    <row r="4352" spans="1:21" ht="11.85" customHeight="1" x14ac:dyDescent="0.2">
      <c r="A4352" s="3" t="s">
        <v>304</v>
      </c>
      <c r="C4352" s="2">
        <f>SUM(C4344:C4351)</f>
        <v>234.6</v>
      </c>
      <c r="E4352" s="2">
        <f>SUM(E4344:E4351)</f>
        <v>6065.34</v>
      </c>
      <c r="G4352" s="2">
        <f>SUM(G4344:G4351)</f>
        <v>308.75</v>
      </c>
      <c r="I4352" s="2">
        <f>SUM(I4344:I4351)</f>
        <v>400</v>
      </c>
      <c r="K4352" s="2">
        <f>SUM(K4344:K4351)</f>
        <v>400</v>
      </c>
      <c r="L4352" s="9"/>
      <c r="M4352" s="2">
        <f>SUM(M4344:M4351)</f>
        <v>400</v>
      </c>
      <c r="N4352" s="9"/>
      <c r="O4352" s="2">
        <f>SUM(O4344:O4351)</f>
        <v>0</v>
      </c>
      <c r="P4352" s="9"/>
      <c r="Q4352" s="2">
        <f>SUM(Q4344:Q4351)</f>
        <v>400</v>
      </c>
    </row>
    <row r="4353" spans="1:20" ht="11.85" customHeight="1" x14ac:dyDescent="0.2">
      <c r="L4353" s="9"/>
      <c r="N4353" s="9"/>
      <c r="P4353" s="9"/>
    </row>
    <row r="4354" spans="1:20" ht="11.85" customHeight="1" x14ac:dyDescent="0.2">
      <c r="A4354" s="10" t="s">
        <v>305</v>
      </c>
      <c r="L4354" s="9"/>
      <c r="N4354" s="9"/>
      <c r="P4354" s="9"/>
    </row>
    <row r="4355" spans="1:20" ht="11.85" customHeight="1" x14ac:dyDescent="0.2">
      <c r="A4355" s="3" t="s">
        <v>1733</v>
      </c>
      <c r="C4355" s="2">
        <v>0</v>
      </c>
      <c r="E4355" s="2">
        <v>100</v>
      </c>
      <c r="G4355" s="2">
        <v>0</v>
      </c>
      <c r="I4355" s="2">
        <v>100</v>
      </c>
      <c r="K4355" s="2">
        <v>100</v>
      </c>
      <c r="L4355" s="9"/>
      <c r="M4355" s="2">
        <v>100</v>
      </c>
      <c r="N4355" s="9"/>
      <c r="O4355" s="2">
        <v>0</v>
      </c>
      <c r="P4355" s="9"/>
      <c r="Q4355" s="2">
        <f t="shared" ref="Q4355:Q4370" si="121">M4355+O4355</f>
        <v>100</v>
      </c>
      <c r="T4355" s="11"/>
    </row>
    <row r="4356" spans="1:20" ht="11.85" customHeight="1" x14ac:dyDescent="0.2">
      <c r="A4356" s="3" t="s">
        <v>1734</v>
      </c>
      <c r="C4356" s="2">
        <v>442.9</v>
      </c>
      <c r="E4356" s="2">
        <v>0</v>
      </c>
      <c r="G4356" s="2">
        <v>0</v>
      </c>
      <c r="I4356" s="2">
        <v>1000</v>
      </c>
      <c r="K4356" s="2">
        <f>1000-500</f>
        <v>500</v>
      </c>
      <c r="L4356" s="9"/>
      <c r="M4356" s="2">
        <v>500</v>
      </c>
      <c r="N4356" s="9"/>
      <c r="O4356" s="2">
        <v>0</v>
      </c>
      <c r="P4356" s="9"/>
      <c r="Q4356" s="2">
        <f t="shared" si="121"/>
        <v>500</v>
      </c>
      <c r="T4356" s="11"/>
    </row>
    <row r="4357" spans="1:20" ht="11.85" customHeight="1" x14ac:dyDescent="0.2">
      <c r="A4357" s="3" t="s">
        <v>1735</v>
      </c>
      <c r="C4357" s="2">
        <v>978.87</v>
      </c>
      <c r="E4357" s="2">
        <v>1168.5</v>
      </c>
      <c r="G4357" s="2">
        <v>1411.02</v>
      </c>
      <c r="I4357" s="2">
        <v>1500</v>
      </c>
      <c r="K4357" s="2">
        <f>1500+500</f>
        <v>2000</v>
      </c>
      <c r="L4357" s="9"/>
      <c r="M4357" s="2">
        <v>2000</v>
      </c>
      <c r="N4357" s="9"/>
      <c r="O4357" s="2">
        <v>0</v>
      </c>
      <c r="P4357" s="9"/>
      <c r="Q4357" s="2">
        <f t="shared" si="121"/>
        <v>2000</v>
      </c>
      <c r="T4357" s="11"/>
    </row>
    <row r="4358" spans="1:20" ht="11.85" customHeight="1" x14ac:dyDescent="0.2">
      <c r="A4358" s="3" t="s">
        <v>1736</v>
      </c>
      <c r="C4358" s="2">
        <v>0</v>
      </c>
      <c r="E4358" s="2">
        <v>0</v>
      </c>
      <c r="G4358" s="2">
        <v>0</v>
      </c>
      <c r="I4358" s="2">
        <v>0</v>
      </c>
      <c r="K4358" s="2">
        <v>0</v>
      </c>
      <c r="L4358" s="9"/>
      <c r="M4358" s="2">
        <v>15000</v>
      </c>
      <c r="N4358" s="9"/>
      <c r="O4358" s="2">
        <v>0</v>
      </c>
      <c r="P4358" s="9"/>
      <c r="Q4358" s="2">
        <f t="shared" si="121"/>
        <v>15000</v>
      </c>
      <c r="T4358" s="11"/>
    </row>
    <row r="4359" spans="1:20" ht="11.85" customHeight="1" x14ac:dyDescent="0.2">
      <c r="A4359" s="3" t="s">
        <v>1737</v>
      </c>
      <c r="C4359" s="2">
        <v>1966.75</v>
      </c>
      <c r="E4359" s="2">
        <v>2583.46</v>
      </c>
      <c r="G4359" s="2">
        <v>2411.13</v>
      </c>
      <c r="I4359" s="2">
        <v>2600</v>
      </c>
      <c r="K4359" s="2">
        <v>2600</v>
      </c>
      <c r="L4359" s="9"/>
      <c r="M4359" s="2">
        <v>2600</v>
      </c>
      <c r="N4359" s="9"/>
      <c r="O4359" s="2">
        <v>0</v>
      </c>
      <c r="P4359" s="9"/>
      <c r="Q4359" s="2">
        <f t="shared" si="121"/>
        <v>2600</v>
      </c>
      <c r="T4359" s="11"/>
    </row>
    <row r="4360" spans="1:20" ht="11.85" customHeight="1" x14ac:dyDescent="0.2">
      <c r="A4360" s="3" t="s">
        <v>1738</v>
      </c>
      <c r="C4360" s="2">
        <v>887</v>
      </c>
      <c r="E4360" s="2">
        <v>5585.58</v>
      </c>
      <c r="G4360" s="2">
        <v>1331.41</v>
      </c>
      <c r="I4360" s="2">
        <v>1500</v>
      </c>
      <c r="K4360" s="2">
        <v>1500</v>
      </c>
      <c r="L4360" s="9"/>
      <c r="M4360" s="2">
        <v>1500</v>
      </c>
      <c r="N4360" s="9"/>
      <c r="O4360" s="2">
        <v>0</v>
      </c>
      <c r="P4360" s="9"/>
      <c r="Q4360" s="2">
        <f t="shared" si="121"/>
        <v>1500</v>
      </c>
      <c r="T4360" s="11"/>
    </row>
    <row r="4361" spans="1:20" ht="11.85" customHeight="1" x14ac:dyDescent="0.2">
      <c r="A4361" s="3" t="s">
        <v>1739</v>
      </c>
      <c r="C4361" s="2">
        <v>0</v>
      </c>
      <c r="E4361" s="2">
        <v>0</v>
      </c>
      <c r="G4361" s="2">
        <v>0</v>
      </c>
      <c r="I4361" s="2">
        <v>0</v>
      </c>
      <c r="K4361" s="2">
        <v>0</v>
      </c>
      <c r="L4361" s="9"/>
      <c r="M4361" s="2">
        <v>0</v>
      </c>
      <c r="N4361" s="9"/>
      <c r="O4361" s="2">
        <v>0</v>
      </c>
      <c r="P4361" s="9"/>
      <c r="Q4361" s="2">
        <f t="shared" si="121"/>
        <v>0</v>
      </c>
      <c r="T4361" s="11"/>
    </row>
    <row r="4362" spans="1:20" ht="11.85" customHeight="1" x14ac:dyDescent="0.2">
      <c r="A4362" s="3" t="s">
        <v>1740</v>
      </c>
      <c r="C4362" s="2">
        <v>0</v>
      </c>
      <c r="E4362" s="2">
        <v>0</v>
      </c>
      <c r="G4362" s="2">
        <v>0</v>
      </c>
      <c r="I4362" s="2">
        <v>0</v>
      </c>
      <c r="K4362" s="2">
        <v>0</v>
      </c>
      <c r="L4362" s="9"/>
      <c r="M4362" s="2">
        <v>0</v>
      </c>
      <c r="N4362" s="9"/>
      <c r="O4362" s="2">
        <v>0</v>
      </c>
      <c r="P4362" s="9"/>
      <c r="Q4362" s="2">
        <f t="shared" si="121"/>
        <v>0</v>
      </c>
      <c r="T4362" s="11"/>
    </row>
    <row r="4363" spans="1:20" ht="11.85" customHeight="1" x14ac:dyDescent="0.2">
      <c r="A4363" s="3" t="s">
        <v>1741</v>
      </c>
      <c r="C4363" s="2">
        <v>25.96</v>
      </c>
      <c r="E4363" s="2">
        <v>0</v>
      </c>
      <c r="G4363" s="2">
        <v>500</v>
      </c>
      <c r="I4363" s="2">
        <v>500</v>
      </c>
      <c r="K4363" s="2">
        <v>500</v>
      </c>
      <c r="L4363" s="9"/>
      <c r="M4363" s="2">
        <v>250</v>
      </c>
      <c r="N4363" s="9"/>
      <c r="O4363" s="2">
        <v>0</v>
      </c>
      <c r="P4363" s="9"/>
      <c r="Q4363" s="2">
        <f t="shared" si="121"/>
        <v>250</v>
      </c>
      <c r="T4363" s="11"/>
    </row>
    <row r="4364" spans="1:20" ht="11.85" customHeight="1" x14ac:dyDescent="0.2">
      <c r="A4364" s="3" t="s">
        <v>1742</v>
      </c>
      <c r="C4364" s="2">
        <v>225</v>
      </c>
      <c r="E4364" s="2">
        <v>0</v>
      </c>
      <c r="G4364" s="2">
        <v>0</v>
      </c>
      <c r="I4364" s="2">
        <v>200</v>
      </c>
      <c r="K4364" s="2">
        <v>200</v>
      </c>
      <c r="L4364" s="9"/>
      <c r="M4364" s="2">
        <v>200</v>
      </c>
      <c r="N4364" s="9"/>
      <c r="O4364" s="2">
        <v>0</v>
      </c>
      <c r="P4364" s="9"/>
      <c r="Q4364" s="2">
        <f t="shared" si="121"/>
        <v>200</v>
      </c>
      <c r="T4364" s="11"/>
    </row>
    <row r="4365" spans="1:20" ht="11.85" customHeight="1" x14ac:dyDescent="0.2">
      <c r="A4365" s="3" t="s">
        <v>1743</v>
      </c>
      <c r="C4365" s="2">
        <v>420</v>
      </c>
      <c r="E4365" s="2">
        <v>420</v>
      </c>
      <c r="G4365" s="2">
        <v>420</v>
      </c>
      <c r="I4365" s="2">
        <v>420</v>
      </c>
      <c r="K4365" s="2">
        <v>420</v>
      </c>
      <c r="L4365" s="9"/>
      <c r="M4365" s="2">
        <v>420</v>
      </c>
      <c r="N4365" s="9"/>
      <c r="O4365" s="2">
        <v>0</v>
      </c>
      <c r="P4365" s="9"/>
      <c r="Q4365" s="2">
        <f t="shared" si="121"/>
        <v>420</v>
      </c>
      <c r="T4365" s="11"/>
    </row>
    <row r="4366" spans="1:20" ht="11.85" customHeight="1" x14ac:dyDescent="0.2">
      <c r="A4366" s="3" t="s">
        <v>1744</v>
      </c>
      <c r="C4366" s="2">
        <v>330.88</v>
      </c>
      <c r="E4366" s="2">
        <v>149.52000000000001</v>
      </c>
      <c r="G4366" s="2">
        <v>253.46</v>
      </c>
      <c r="I4366" s="2">
        <v>250</v>
      </c>
      <c r="K4366" s="2">
        <v>250</v>
      </c>
      <c r="L4366" s="9"/>
      <c r="M4366" s="2">
        <v>250</v>
      </c>
      <c r="N4366" s="9"/>
      <c r="O4366" s="2">
        <v>0</v>
      </c>
      <c r="P4366" s="9"/>
      <c r="Q4366" s="2">
        <f t="shared" si="121"/>
        <v>250</v>
      </c>
      <c r="T4366" s="11"/>
    </row>
    <row r="4367" spans="1:20" ht="11.85" hidden="1" customHeight="1" x14ac:dyDescent="0.2">
      <c r="A4367" s="3" t="s">
        <v>1745</v>
      </c>
      <c r="C4367" s="2">
        <v>0</v>
      </c>
      <c r="E4367" s="2">
        <v>0</v>
      </c>
      <c r="G4367" s="2">
        <v>0</v>
      </c>
      <c r="I4367" s="2">
        <v>0</v>
      </c>
      <c r="K4367" s="2">
        <v>0</v>
      </c>
      <c r="L4367" s="9"/>
      <c r="M4367" s="2">
        <v>0</v>
      </c>
      <c r="N4367" s="9"/>
      <c r="O4367" s="2">
        <v>0</v>
      </c>
      <c r="P4367" s="9"/>
      <c r="Q4367" s="2">
        <f t="shared" si="121"/>
        <v>0</v>
      </c>
      <c r="T4367" s="11"/>
    </row>
    <row r="4368" spans="1:20" ht="11.85" hidden="1" customHeight="1" x14ac:dyDescent="0.2">
      <c r="A4368" s="3" t="s">
        <v>1746</v>
      </c>
      <c r="C4368" s="2">
        <v>0</v>
      </c>
      <c r="E4368" s="2">
        <v>0</v>
      </c>
      <c r="G4368" s="2">
        <v>0</v>
      </c>
      <c r="I4368" s="2">
        <v>0</v>
      </c>
      <c r="K4368" s="2">
        <v>0</v>
      </c>
      <c r="L4368" s="9"/>
      <c r="M4368" s="2">
        <v>0</v>
      </c>
      <c r="N4368" s="9"/>
      <c r="O4368" s="2">
        <v>0</v>
      </c>
      <c r="P4368" s="9"/>
      <c r="Q4368" s="2">
        <f t="shared" si="121"/>
        <v>0</v>
      </c>
      <c r="T4368" s="11"/>
    </row>
    <row r="4369" spans="1:20" ht="11.85" customHeight="1" x14ac:dyDescent="0.2">
      <c r="A4369" s="3" t="s">
        <v>1747</v>
      </c>
      <c r="C4369" s="2">
        <v>870.21</v>
      </c>
      <c r="E4369" s="2">
        <v>1221.05</v>
      </c>
      <c r="G4369" s="2">
        <v>1161.77</v>
      </c>
      <c r="I4369" s="2">
        <v>850</v>
      </c>
      <c r="K4369" s="2">
        <v>850</v>
      </c>
      <c r="L4369" s="9"/>
      <c r="M4369" s="2">
        <v>850</v>
      </c>
      <c r="N4369" s="9"/>
      <c r="O4369" s="2">
        <v>0</v>
      </c>
      <c r="P4369" s="9"/>
      <c r="Q4369" s="2">
        <f t="shared" si="121"/>
        <v>850</v>
      </c>
      <c r="T4369" s="11"/>
    </row>
    <row r="4370" spans="1:20" ht="11.85" customHeight="1" x14ac:dyDescent="0.2">
      <c r="A4370" s="3" t="s">
        <v>1748</v>
      </c>
      <c r="C4370" s="12">
        <v>0</v>
      </c>
      <c r="E4370" s="12">
        <v>0</v>
      </c>
      <c r="G4370" s="12">
        <v>0</v>
      </c>
      <c r="I4370" s="12">
        <v>0</v>
      </c>
      <c r="K4370" s="12">
        <v>0</v>
      </c>
      <c r="L4370" s="9"/>
      <c r="M4370" s="12">
        <v>0</v>
      </c>
      <c r="N4370" s="9"/>
      <c r="O4370" s="12">
        <v>0</v>
      </c>
      <c r="P4370" s="9"/>
      <c r="Q4370" s="12">
        <f t="shared" si="121"/>
        <v>0</v>
      </c>
      <c r="T4370" s="11"/>
    </row>
    <row r="4371" spans="1:20" ht="11.85" customHeight="1" x14ac:dyDescent="0.2">
      <c r="A4371" s="3" t="s">
        <v>328</v>
      </c>
      <c r="C4371" s="2">
        <f>SUM(C4355:C4367)+SUM(C4368:C4370)</f>
        <v>6147.5700000000006</v>
      </c>
      <c r="E4371" s="2">
        <f>SUM(E4355:E4367)+SUM(E4368:E4370)</f>
        <v>11228.11</v>
      </c>
      <c r="G4371" s="2">
        <f>SUM(G4355:G4367)+SUM(G4368:G4370)</f>
        <v>7488.7900000000009</v>
      </c>
      <c r="I4371" s="2">
        <f>SUM(I4355:I4367)+SUM(I4368:I4370)</f>
        <v>8920</v>
      </c>
      <c r="K4371" s="2">
        <f>SUM(K4355:K4370)</f>
        <v>8920</v>
      </c>
      <c r="L4371" s="9"/>
      <c r="M4371" s="2">
        <f>SUM(M4355:M4370)</f>
        <v>23670</v>
      </c>
      <c r="N4371" s="9"/>
      <c r="O4371" s="2">
        <f>SUM(O4355:O4367)+SUM(O4368:O4370)</f>
        <v>0</v>
      </c>
      <c r="P4371" s="9"/>
      <c r="Q4371" s="2">
        <f>SUM(Q4355:Q4367)+SUM(Q4368:Q4370)</f>
        <v>23670</v>
      </c>
      <c r="T4371" s="14"/>
    </row>
    <row r="4372" spans="1:20" ht="11.85" customHeight="1" x14ac:dyDescent="0.2">
      <c r="L4372" s="9"/>
      <c r="N4372" s="9"/>
      <c r="P4372" s="9"/>
    </row>
    <row r="4373" spans="1:20" ht="11.85" customHeight="1" x14ac:dyDescent="0.2">
      <c r="A4373" s="3" t="s">
        <v>1749</v>
      </c>
      <c r="C4373" s="2">
        <v>0</v>
      </c>
      <c r="E4373" s="2">
        <v>0</v>
      </c>
      <c r="G4373" s="2">
        <v>0</v>
      </c>
      <c r="I4373" s="2">
        <v>0</v>
      </c>
      <c r="K4373" s="2">
        <v>0</v>
      </c>
      <c r="L4373" s="9"/>
      <c r="M4373" s="2">
        <v>0</v>
      </c>
      <c r="N4373" s="9"/>
      <c r="O4373" s="2">
        <v>0</v>
      </c>
      <c r="P4373" s="9"/>
      <c r="Q4373" s="2">
        <f>M4373+O4373</f>
        <v>0</v>
      </c>
    </row>
    <row r="4374" spans="1:20" ht="11.85" customHeight="1" x14ac:dyDescent="0.2">
      <c r="A4374" s="3" t="s">
        <v>1750</v>
      </c>
      <c r="C4374" s="12">
        <v>0</v>
      </c>
      <c r="E4374" s="12">
        <v>0</v>
      </c>
      <c r="G4374" s="12">
        <v>0</v>
      </c>
      <c r="I4374" s="12">
        <v>0</v>
      </c>
      <c r="K4374" s="12">
        <v>0</v>
      </c>
      <c r="L4374" s="9"/>
      <c r="M4374" s="12">
        <v>0</v>
      </c>
      <c r="N4374" s="9"/>
      <c r="O4374" s="12">
        <v>0</v>
      </c>
      <c r="P4374" s="9"/>
      <c r="Q4374" s="12">
        <f>M4374+O4374</f>
        <v>0</v>
      </c>
    </row>
    <row r="4375" spans="1:20" ht="11.85" customHeight="1" x14ac:dyDescent="0.2">
      <c r="A4375" s="3" t="s">
        <v>331</v>
      </c>
      <c r="C4375" s="2">
        <f>SUM(C4373:C4374)</f>
        <v>0</v>
      </c>
      <c r="E4375" s="2">
        <f>SUM(E4373:E4374)</f>
        <v>0</v>
      </c>
      <c r="G4375" s="2">
        <f>SUM(G4373:G4374)</f>
        <v>0</v>
      </c>
      <c r="I4375" s="2">
        <f>SUM(I4373:I4374)</f>
        <v>0</v>
      </c>
      <c r="K4375" s="2">
        <f>SUM(K4373:K4374)</f>
        <v>0</v>
      </c>
      <c r="L4375" s="9"/>
      <c r="M4375" s="2">
        <f>SUM(M4373:M4374)</f>
        <v>0</v>
      </c>
      <c r="N4375" s="9"/>
      <c r="O4375" s="2">
        <f>SUM(O4373:O4374)</f>
        <v>0</v>
      </c>
      <c r="P4375" s="9"/>
      <c r="Q4375" s="2">
        <f>SUM(Q4373:Q4374)</f>
        <v>0</v>
      </c>
    </row>
    <row r="4376" spans="1:20" ht="11.85" customHeight="1" x14ac:dyDescent="0.2"/>
    <row r="4377" spans="1:20" ht="11.85" customHeight="1" x14ac:dyDescent="0.2">
      <c r="L4377" s="9"/>
      <c r="N4377" s="9"/>
      <c r="P4377" s="9"/>
    </row>
    <row r="4378" spans="1:20" ht="11.85" customHeight="1" x14ac:dyDescent="0.2">
      <c r="A4378" s="3" t="s">
        <v>1751</v>
      </c>
      <c r="C4378" s="2">
        <f>C4341+C4352+C4371+C4375</f>
        <v>62388.000000000007</v>
      </c>
      <c r="E4378" s="2">
        <f>E4341+E4352+E4371+E4375</f>
        <v>76456.08</v>
      </c>
      <c r="G4378" s="2">
        <f>G4341+G4352+G4371+G4375</f>
        <v>70508.25</v>
      </c>
      <c r="I4378" s="2">
        <f>I4341+I4352+I4371+I4375</f>
        <v>74839</v>
      </c>
      <c r="K4378" s="2">
        <f>K4341+K4352+K4371+K4375</f>
        <v>74839</v>
      </c>
      <c r="L4378" s="9"/>
      <c r="M4378" s="2">
        <f>M4341+M4352+M4371+M4375</f>
        <v>89730</v>
      </c>
      <c r="N4378" s="9"/>
      <c r="O4378" s="2">
        <f>O4341+O4352+O4371+O4375</f>
        <v>0</v>
      </c>
      <c r="P4378" s="9"/>
      <c r="Q4378" s="2">
        <f>Q4341+Q4352+Q4371+Q4375</f>
        <v>89730</v>
      </c>
      <c r="R4378" s="9"/>
      <c r="T4378" s="11"/>
    </row>
    <row r="4379" spans="1:20" ht="11.85" customHeight="1" x14ac:dyDescent="0.2">
      <c r="L4379" s="9"/>
      <c r="N4379" s="9"/>
      <c r="P4379" s="9"/>
    </row>
    <row r="4380" spans="1:20" ht="11.85" customHeight="1" x14ac:dyDescent="0.2">
      <c r="L4380" s="9"/>
      <c r="N4380" s="9"/>
      <c r="P4380" s="9"/>
    </row>
    <row r="4381" spans="1:20" ht="11.85" customHeight="1" x14ac:dyDescent="0.2">
      <c r="L4381" s="9"/>
      <c r="N4381" s="9"/>
      <c r="P4381" s="9"/>
    </row>
    <row r="4382" spans="1:20" ht="11.85" customHeight="1" x14ac:dyDescent="0.2">
      <c r="L4382" s="9"/>
      <c r="N4382" s="9"/>
      <c r="P4382" s="9"/>
    </row>
    <row r="4383" spans="1:20" ht="12" customHeight="1" x14ac:dyDescent="0.2">
      <c r="L4383" s="9"/>
      <c r="N4383" s="9"/>
      <c r="P4383" s="9"/>
    </row>
    <row r="4384" spans="1:20" ht="11.85" customHeight="1" x14ac:dyDescent="0.2">
      <c r="L4384" s="9"/>
      <c r="N4384" s="9"/>
      <c r="P4384" s="9"/>
    </row>
    <row r="4385" spans="1:20" ht="11.85" customHeight="1" x14ac:dyDescent="0.2">
      <c r="L4385" s="9"/>
      <c r="N4385" s="9"/>
      <c r="P4385" s="9"/>
    </row>
    <row r="4386" spans="1:20" ht="11.85" customHeight="1" x14ac:dyDescent="0.2">
      <c r="L4386" s="9"/>
      <c r="N4386" s="9"/>
      <c r="P4386" s="9"/>
    </row>
    <row r="4387" spans="1:20" ht="11.85" customHeight="1" x14ac:dyDescent="0.2">
      <c r="L4387" s="9"/>
      <c r="N4387" s="9"/>
      <c r="P4387" s="9"/>
    </row>
    <row r="4388" spans="1:20" ht="11.85" customHeight="1" x14ac:dyDescent="0.2">
      <c r="A4388" s="1"/>
      <c r="B4388" s="1"/>
      <c r="E4388" s="2" t="str">
        <f>$E$1</f>
        <v>CITY OF BRADY</v>
      </c>
    </row>
    <row r="4389" spans="1:20" ht="11.85" customHeight="1" x14ac:dyDescent="0.2">
      <c r="E4389" s="2" t="str">
        <f>$E$2</f>
        <v>BUDGET REPORT</v>
      </c>
    </row>
    <row r="4390" spans="1:20" ht="11.85" customHeight="1" x14ac:dyDescent="0.2">
      <c r="E4390" s="2" t="str">
        <f>$E$3</f>
        <v>FISCAL YEAR 2024 - 2025</v>
      </c>
    </row>
    <row r="4391" spans="1:20" ht="11.85" customHeight="1" x14ac:dyDescent="0.2">
      <c r="A4391" s="3" t="s">
        <v>1688</v>
      </c>
    </row>
    <row r="4392" spans="1:20" ht="11.85" customHeight="1" x14ac:dyDescent="0.2">
      <c r="A4392" s="3" t="s">
        <v>1752</v>
      </c>
    </row>
    <row r="4393" spans="1:20" ht="11.85" customHeight="1" x14ac:dyDescent="0.2">
      <c r="I4393" s="53" t="str">
        <f>$I$6</f>
        <v>(----- 2023-2024------)</v>
      </c>
      <c r="J4393" s="53"/>
      <c r="K4393" s="53"/>
      <c r="L4393" s="6"/>
      <c r="M4393" s="54" t="str">
        <f>$M$6</f>
        <v>2024-2025</v>
      </c>
      <c r="N4393" s="54"/>
      <c r="O4393" s="54"/>
      <c r="P4393" s="54"/>
      <c r="Q4393" s="54"/>
    </row>
    <row r="4394" spans="1:20" ht="11.85" customHeight="1" x14ac:dyDescent="0.2">
      <c r="C4394" s="5" t="str">
        <f>$C$7</f>
        <v>2020-2021</v>
      </c>
      <c r="D4394" s="5"/>
      <c r="E4394" s="5" t="str">
        <f>$E$7</f>
        <v>2021-2022</v>
      </c>
      <c r="F4394" s="5"/>
      <c r="G4394" s="5" t="str">
        <f>$G$7</f>
        <v>2022-2023</v>
      </c>
      <c r="H4394" s="5"/>
      <c r="I4394" s="5" t="s">
        <v>9</v>
      </c>
      <c r="J4394" s="5"/>
      <c r="K4394" s="5" t="str">
        <f>+$K$7</f>
        <v>PROJECTED</v>
      </c>
      <c r="L4394" s="6"/>
      <c r="M4394" s="5">
        <f>$M$7</f>
        <v>0</v>
      </c>
      <c r="N4394" s="6"/>
      <c r="O4394" s="5" t="str">
        <f>$O$7</f>
        <v>2024-2025</v>
      </c>
      <c r="P4394" s="6"/>
      <c r="Q4394" s="5" t="str">
        <f>$Q$7</f>
        <v>APPROVED</v>
      </c>
    </row>
    <row r="4395" spans="1:20" ht="11.85" customHeight="1" x14ac:dyDescent="0.2">
      <c r="A4395" s="7" t="s">
        <v>273</v>
      </c>
      <c r="C4395" s="8" t="s">
        <v>12</v>
      </c>
      <c r="D4395" s="5"/>
      <c r="E4395" s="8" t="s">
        <v>12</v>
      </c>
      <c r="F4395" s="5"/>
      <c r="G4395" s="8" t="s">
        <v>12</v>
      </c>
      <c r="H4395" s="5"/>
      <c r="I4395" s="8" t="s">
        <v>13</v>
      </c>
      <c r="J4395" s="5"/>
      <c r="K4395" s="8" t="s">
        <v>13</v>
      </c>
      <c r="L4395" s="6"/>
      <c r="M4395" s="8" t="str">
        <f>$M$8</f>
        <v>BASE</v>
      </c>
      <c r="N4395" s="6"/>
      <c r="O4395" s="8" t="str">
        <f>$O$8</f>
        <v>SUPPLEMENTAL</v>
      </c>
      <c r="P4395" s="6"/>
      <c r="Q4395" s="8" t="str">
        <f>$Q$8</f>
        <v>BUDGET</v>
      </c>
    </row>
    <row r="4396" spans="1:20" ht="11.85" customHeight="1" x14ac:dyDescent="0.2"/>
    <row r="4397" spans="1:20" ht="11.85" customHeight="1" x14ac:dyDescent="0.2">
      <c r="A4397" s="10" t="s">
        <v>274</v>
      </c>
    </row>
    <row r="4398" spans="1:20" ht="11.85" customHeight="1" x14ac:dyDescent="0.2">
      <c r="A4398" s="3" t="s">
        <v>1753</v>
      </c>
      <c r="C4398" s="2">
        <v>142785.92000000001</v>
      </c>
      <c r="E4398" s="2">
        <v>137478.39000000001</v>
      </c>
      <c r="G4398" s="2">
        <v>131464.79999999999</v>
      </c>
      <c r="I4398" s="2">
        <v>134699</v>
      </c>
      <c r="K4398" s="2">
        <v>134699</v>
      </c>
      <c r="L4398" s="9"/>
      <c r="M4398" s="2">
        <v>136335</v>
      </c>
      <c r="N4398" s="9"/>
      <c r="O4398" s="2">
        <v>0</v>
      </c>
      <c r="P4398" s="9"/>
      <c r="Q4398" s="2">
        <f t="shared" ref="Q4398:Q4404" si="122">M4398+O4398</f>
        <v>136335</v>
      </c>
      <c r="T4398" s="11"/>
    </row>
    <row r="4399" spans="1:20" ht="11.85" customHeight="1" x14ac:dyDescent="0.2">
      <c r="A4399" s="3" t="s">
        <v>1754</v>
      </c>
      <c r="C4399" s="2">
        <v>0</v>
      </c>
      <c r="E4399" s="2">
        <v>0</v>
      </c>
      <c r="G4399" s="2">
        <v>0</v>
      </c>
      <c r="I4399" s="2">
        <v>200</v>
      </c>
      <c r="K4399" s="2">
        <v>200</v>
      </c>
      <c r="L4399" s="9"/>
      <c r="M4399" s="2">
        <v>200</v>
      </c>
      <c r="N4399" s="9"/>
      <c r="O4399" s="2">
        <v>0</v>
      </c>
      <c r="P4399" s="9"/>
      <c r="Q4399" s="2">
        <f t="shared" si="122"/>
        <v>200</v>
      </c>
      <c r="T4399" s="11"/>
    </row>
    <row r="4400" spans="1:20" ht="11.85" customHeight="1" x14ac:dyDescent="0.2">
      <c r="A4400" s="3" t="s">
        <v>1755</v>
      </c>
      <c r="C4400" s="2">
        <v>34592.83</v>
      </c>
      <c r="E4400" s="2">
        <v>33733.93</v>
      </c>
      <c r="G4400" s="2">
        <v>29625.08</v>
      </c>
      <c r="I4400" s="2">
        <v>26702</v>
      </c>
      <c r="K4400" s="2">
        <v>26702</v>
      </c>
      <c r="L4400" s="9"/>
      <c r="M4400" s="2">
        <v>23630</v>
      </c>
      <c r="N4400" s="9"/>
      <c r="O4400" s="2">
        <v>0</v>
      </c>
      <c r="P4400" s="9"/>
      <c r="Q4400" s="2">
        <f t="shared" si="122"/>
        <v>23630</v>
      </c>
      <c r="T4400" s="11"/>
    </row>
    <row r="4401" spans="1:21" ht="11.85" customHeight="1" x14ac:dyDescent="0.2">
      <c r="A4401" s="3" t="s">
        <v>1756</v>
      </c>
      <c r="C4401" s="2">
        <v>14203.84</v>
      </c>
      <c r="E4401" s="2">
        <v>13224.93</v>
      </c>
      <c r="G4401" s="2">
        <v>12767.17</v>
      </c>
      <c r="I4401" s="2">
        <v>13433</v>
      </c>
      <c r="K4401" s="2">
        <v>13433</v>
      </c>
      <c r="L4401" s="9"/>
      <c r="M4401" s="2">
        <v>13261</v>
      </c>
      <c r="N4401" s="9"/>
      <c r="O4401" s="2">
        <v>0</v>
      </c>
      <c r="P4401" s="9"/>
      <c r="Q4401" s="2">
        <f t="shared" si="122"/>
        <v>13261</v>
      </c>
      <c r="T4401" s="11"/>
    </row>
    <row r="4402" spans="1:21" ht="11.85" customHeight="1" x14ac:dyDescent="0.2">
      <c r="A4402" s="3" t="s">
        <v>1757</v>
      </c>
      <c r="C4402" s="2">
        <v>342.99</v>
      </c>
      <c r="E4402" s="2">
        <v>348.41</v>
      </c>
      <c r="G4402" s="2">
        <v>352.7</v>
      </c>
      <c r="I4402" s="2">
        <v>440</v>
      </c>
      <c r="K4402" s="2">
        <v>440</v>
      </c>
      <c r="L4402" s="9"/>
      <c r="M4402" s="2">
        <v>230</v>
      </c>
      <c r="N4402" s="9"/>
      <c r="O4402" s="2">
        <v>0</v>
      </c>
      <c r="P4402" s="9"/>
      <c r="Q4402" s="2">
        <f t="shared" si="122"/>
        <v>230</v>
      </c>
      <c r="T4402" s="11"/>
    </row>
    <row r="4403" spans="1:21" ht="11.85" customHeight="1" x14ac:dyDescent="0.2">
      <c r="A4403" s="3" t="s">
        <v>1758</v>
      </c>
      <c r="C4403" s="2">
        <v>756</v>
      </c>
      <c r="E4403" s="2">
        <v>36</v>
      </c>
      <c r="G4403" s="2">
        <v>25.42</v>
      </c>
      <c r="I4403" s="2">
        <v>195</v>
      </c>
      <c r="K4403" s="2">
        <v>195</v>
      </c>
      <c r="L4403" s="9"/>
      <c r="M4403" s="2">
        <v>210</v>
      </c>
      <c r="N4403" s="9"/>
      <c r="O4403" s="2">
        <v>0</v>
      </c>
      <c r="P4403" s="9"/>
      <c r="Q4403" s="2">
        <f t="shared" si="122"/>
        <v>210</v>
      </c>
      <c r="R4403" s="2"/>
      <c r="T4403" s="11"/>
    </row>
    <row r="4404" spans="1:21" ht="11.85" customHeight="1" x14ac:dyDescent="0.2">
      <c r="A4404" s="3" t="s">
        <v>1759</v>
      </c>
      <c r="C4404" s="12">
        <v>10460.200000000001</v>
      </c>
      <c r="E4404" s="12">
        <v>10851.69</v>
      </c>
      <c r="G4404" s="12">
        <v>10028.200000000001</v>
      </c>
      <c r="I4404" s="12">
        <v>10522</v>
      </c>
      <c r="K4404" s="12">
        <v>10522</v>
      </c>
      <c r="L4404" s="9"/>
      <c r="M4404" s="12">
        <v>10650</v>
      </c>
      <c r="N4404" s="9"/>
      <c r="O4404" s="12">
        <v>0</v>
      </c>
      <c r="P4404" s="9"/>
      <c r="Q4404" s="12">
        <f t="shared" si="122"/>
        <v>10650</v>
      </c>
      <c r="T4404" s="11"/>
    </row>
    <row r="4405" spans="1:21" ht="11.85" customHeight="1" x14ac:dyDescent="0.2">
      <c r="A4405" s="3" t="s">
        <v>285</v>
      </c>
      <c r="C4405" s="2">
        <f>SUM(C4398:C4404)</f>
        <v>203141.78</v>
      </c>
      <c r="E4405" s="2">
        <f>SUM(E4398:E4404)</f>
        <v>195673.35</v>
      </c>
      <c r="G4405" s="2">
        <f>SUM(G4398:G4404)</f>
        <v>184263.37000000005</v>
      </c>
      <c r="I4405" s="2">
        <f>SUM(I4398:I4404)</f>
        <v>186191</v>
      </c>
      <c r="K4405" s="2">
        <f>SUM(K4398:K4404)</f>
        <v>186191</v>
      </c>
      <c r="L4405" s="9"/>
      <c r="M4405" s="2">
        <f>SUM(M4398:M4404)</f>
        <v>184516</v>
      </c>
      <c r="N4405" s="9"/>
      <c r="O4405" s="2">
        <f>SUM(O4398:O4404)</f>
        <v>0</v>
      </c>
      <c r="P4405" s="9"/>
      <c r="Q4405" s="2">
        <f>SUM(Q4398:Q4404)</f>
        <v>184516</v>
      </c>
      <c r="R4405" s="2"/>
      <c r="U4405" s="9"/>
    </row>
    <row r="4406" spans="1:21" ht="11.85" customHeight="1" x14ac:dyDescent="0.2">
      <c r="L4406" s="9"/>
      <c r="N4406" s="9"/>
      <c r="P4406" s="9"/>
    </row>
    <row r="4407" spans="1:21" ht="11.85" customHeight="1" x14ac:dyDescent="0.2">
      <c r="A4407" s="10" t="s">
        <v>286</v>
      </c>
      <c r="L4407" s="9"/>
      <c r="N4407" s="9"/>
      <c r="P4407" s="9"/>
    </row>
    <row r="4408" spans="1:21" ht="11.85" customHeight="1" x14ac:dyDescent="0.2">
      <c r="A4408" s="3" t="s">
        <v>1760</v>
      </c>
      <c r="C4408" s="2">
        <v>0</v>
      </c>
      <c r="E4408" s="2">
        <v>0</v>
      </c>
      <c r="G4408" s="2">
        <v>0</v>
      </c>
      <c r="I4408" s="2">
        <v>0</v>
      </c>
      <c r="K4408" s="2">
        <v>0</v>
      </c>
      <c r="L4408" s="9"/>
      <c r="M4408" s="2">
        <v>0</v>
      </c>
      <c r="N4408" s="9"/>
      <c r="O4408" s="2">
        <v>0</v>
      </c>
      <c r="P4408" s="9"/>
      <c r="Q4408" s="2">
        <f t="shared" ref="Q4408:Q4414" si="123">M4408+O4408</f>
        <v>0</v>
      </c>
      <c r="T4408" s="11"/>
    </row>
    <row r="4409" spans="1:21" ht="11.85" customHeight="1" x14ac:dyDescent="0.2">
      <c r="A4409" s="3" t="s">
        <v>1761</v>
      </c>
      <c r="C4409" s="2">
        <v>0</v>
      </c>
      <c r="E4409" s="2">
        <v>0</v>
      </c>
      <c r="G4409" s="2">
        <v>0</v>
      </c>
      <c r="I4409" s="2">
        <v>0</v>
      </c>
      <c r="K4409" s="2">
        <v>0</v>
      </c>
      <c r="L4409" s="9"/>
      <c r="M4409" s="2">
        <v>0</v>
      </c>
      <c r="N4409" s="9"/>
      <c r="O4409" s="2">
        <v>0</v>
      </c>
      <c r="P4409" s="9"/>
      <c r="Q4409" s="2">
        <f t="shared" si="123"/>
        <v>0</v>
      </c>
      <c r="T4409" s="11"/>
    </row>
    <row r="4410" spans="1:21" ht="11.85" customHeight="1" x14ac:dyDescent="0.2">
      <c r="A4410" s="3" t="s">
        <v>1762</v>
      </c>
      <c r="C4410" s="2">
        <v>0</v>
      </c>
      <c r="E4410" s="2">
        <v>0</v>
      </c>
      <c r="G4410" s="2">
        <v>0</v>
      </c>
      <c r="I4410" s="2">
        <v>0</v>
      </c>
      <c r="K4410" s="2">
        <v>0</v>
      </c>
      <c r="L4410" s="9"/>
      <c r="M4410" s="2">
        <v>0</v>
      </c>
      <c r="N4410" s="9"/>
      <c r="O4410" s="2">
        <v>0</v>
      </c>
      <c r="P4410" s="9"/>
      <c r="Q4410" s="2">
        <f t="shared" si="123"/>
        <v>0</v>
      </c>
      <c r="T4410" s="11"/>
    </row>
    <row r="4411" spans="1:21" ht="11.85" customHeight="1" x14ac:dyDescent="0.2">
      <c r="A4411" s="3" t="s">
        <v>1763</v>
      </c>
      <c r="C4411" s="2">
        <v>7794.6</v>
      </c>
      <c r="E4411" s="2">
        <v>6769.38</v>
      </c>
      <c r="G4411" s="2">
        <v>5927.16</v>
      </c>
      <c r="I4411" s="2">
        <v>6600</v>
      </c>
      <c r="K4411" s="2">
        <v>6600</v>
      </c>
      <c r="L4411" s="9"/>
      <c r="M4411" s="2">
        <v>6600</v>
      </c>
      <c r="N4411" s="9"/>
      <c r="O4411" s="2">
        <v>0</v>
      </c>
      <c r="P4411" s="9"/>
      <c r="Q4411" s="2">
        <f t="shared" si="123"/>
        <v>6600</v>
      </c>
      <c r="T4411" s="11"/>
    </row>
    <row r="4412" spans="1:21" ht="11.85" hidden="1" customHeight="1" x14ac:dyDescent="0.2">
      <c r="A4412" s="3" t="s">
        <v>1764</v>
      </c>
      <c r="C4412" s="2">
        <v>0</v>
      </c>
      <c r="E4412" s="2">
        <v>0</v>
      </c>
      <c r="G4412" s="2">
        <v>0</v>
      </c>
      <c r="I4412" s="2">
        <v>0</v>
      </c>
      <c r="K4412" s="2">
        <v>0</v>
      </c>
      <c r="L4412" s="9"/>
      <c r="M4412" s="2">
        <v>0</v>
      </c>
      <c r="N4412" s="9"/>
      <c r="O4412" s="2">
        <v>0</v>
      </c>
      <c r="P4412" s="9"/>
      <c r="Q4412" s="2">
        <f t="shared" si="123"/>
        <v>0</v>
      </c>
      <c r="T4412" s="11"/>
    </row>
    <row r="4413" spans="1:21" ht="11.85" customHeight="1" x14ac:dyDescent="0.2">
      <c r="A4413" s="3" t="s">
        <v>1765</v>
      </c>
      <c r="C4413" s="2">
        <v>81272.240000000005</v>
      </c>
      <c r="E4413" s="2">
        <v>87907.07</v>
      </c>
      <c r="G4413" s="2">
        <v>95246.57</v>
      </c>
      <c r="I4413" s="2">
        <v>104000</v>
      </c>
      <c r="K4413" s="2">
        <v>104000</v>
      </c>
      <c r="L4413" s="9"/>
      <c r="M4413" s="2">
        <v>117500</v>
      </c>
      <c r="N4413" s="9"/>
      <c r="O4413" s="2">
        <v>9800</v>
      </c>
      <c r="P4413" s="9"/>
      <c r="Q4413" s="2">
        <f t="shared" si="123"/>
        <v>127300</v>
      </c>
      <c r="T4413" s="11"/>
    </row>
    <row r="4414" spans="1:21" ht="11.85" customHeight="1" x14ac:dyDescent="0.2">
      <c r="A4414" s="3" t="s">
        <v>1766</v>
      </c>
      <c r="C4414" s="12">
        <v>3307.56</v>
      </c>
      <c r="E4414" s="12">
        <v>3307.56</v>
      </c>
      <c r="G4414" s="12">
        <v>3472.94</v>
      </c>
      <c r="I4414" s="12">
        <v>6300</v>
      </c>
      <c r="K4414" s="12">
        <v>6300</v>
      </c>
      <c r="L4414" s="9"/>
      <c r="M4414" s="12">
        <v>10300</v>
      </c>
      <c r="N4414" s="9"/>
      <c r="O4414" s="12">
        <v>0</v>
      </c>
      <c r="P4414" s="9"/>
      <c r="Q4414" s="12">
        <f t="shared" si="123"/>
        <v>10300</v>
      </c>
      <c r="T4414" s="11"/>
    </row>
    <row r="4415" spans="1:21" ht="11.85" customHeight="1" x14ac:dyDescent="0.2">
      <c r="A4415" s="3" t="s">
        <v>304</v>
      </c>
      <c r="C4415" s="2">
        <f>SUM(C4408:C4414)</f>
        <v>92374.400000000009</v>
      </c>
      <c r="E4415" s="2">
        <f>SUM(E4408:E4414)</f>
        <v>97984.010000000009</v>
      </c>
      <c r="G4415" s="2">
        <f>SUM(G4408:G4414)</f>
        <v>104646.67000000001</v>
      </c>
      <c r="I4415" s="2">
        <f>SUM(I4408:I4414)</f>
        <v>116900</v>
      </c>
      <c r="K4415" s="2">
        <f>SUM(K4408:K4414)</f>
        <v>116900</v>
      </c>
      <c r="L4415" s="9"/>
      <c r="M4415" s="2">
        <f>SUM(M4408:M4414)</f>
        <v>134400</v>
      </c>
      <c r="N4415" s="9"/>
      <c r="O4415" s="2">
        <f>SUM(O4408:O4414)</f>
        <v>9800</v>
      </c>
      <c r="P4415" s="9"/>
      <c r="Q4415" s="2">
        <f>SUM(Q4408:Q4414)</f>
        <v>144200</v>
      </c>
      <c r="T4415" s="14"/>
    </row>
    <row r="4416" spans="1:21" ht="11.85" customHeight="1" x14ac:dyDescent="0.2">
      <c r="L4416" s="9"/>
      <c r="N4416" s="9"/>
      <c r="P4416" s="9"/>
    </row>
    <row r="4417" spans="1:20" ht="11.85" customHeight="1" x14ac:dyDescent="0.2">
      <c r="A4417" s="3" t="s">
        <v>305</v>
      </c>
      <c r="L4417" s="9"/>
      <c r="N4417" s="9"/>
      <c r="P4417" s="9"/>
    </row>
    <row r="4418" spans="1:20" ht="11.85" customHeight="1" x14ac:dyDescent="0.2">
      <c r="A4418" s="3" t="s">
        <v>1767</v>
      </c>
      <c r="C4418" s="2">
        <v>0</v>
      </c>
      <c r="E4418" s="2">
        <v>222.1</v>
      </c>
      <c r="G4418" s="2">
        <v>31.62</v>
      </c>
      <c r="I4418" s="2">
        <v>200</v>
      </c>
      <c r="K4418" s="2">
        <v>200</v>
      </c>
      <c r="L4418" s="9"/>
      <c r="M4418" s="2">
        <v>200</v>
      </c>
      <c r="N4418" s="9"/>
      <c r="O4418" s="2">
        <v>0</v>
      </c>
      <c r="P4418" s="9"/>
      <c r="Q4418" s="2">
        <f t="shared" ref="Q4418:Q4432" si="124">M4418+O4418</f>
        <v>200</v>
      </c>
      <c r="T4418" s="11"/>
    </row>
    <row r="4419" spans="1:20" ht="11.85" customHeight="1" x14ac:dyDescent="0.2">
      <c r="A4419" s="3" t="s">
        <v>1768</v>
      </c>
      <c r="C4419" s="2">
        <v>360</v>
      </c>
      <c r="E4419" s="2">
        <v>0</v>
      </c>
      <c r="G4419" s="2">
        <v>0</v>
      </c>
      <c r="I4419" s="2">
        <v>1000</v>
      </c>
      <c r="K4419" s="2">
        <v>1000</v>
      </c>
      <c r="L4419" s="9"/>
      <c r="M4419" s="2">
        <v>1000</v>
      </c>
      <c r="N4419" s="9"/>
      <c r="O4419" s="2">
        <v>0</v>
      </c>
      <c r="P4419" s="9"/>
      <c r="Q4419" s="2">
        <f t="shared" si="124"/>
        <v>1000</v>
      </c>
      <c r="T4419" s="11"/>
    </row>
    <row r="4420" spans="1:20" ht="11.85" customHeight="1" x14ac:dyDescent="0.2">
      <c r="A4420" s="3" t="s">
        <v>1769</v>
      </c>
      <c r="C4420" s="2">
        <v>5864.4</v>
      </c>
      <c r="E4420" s="2">
        <v>6986.23</v>
      </c>
      <c r="G4420" s="2">
        <v>5598.44</v>
      </c>
      <c r="I4420" s="2">
        <v>6400</v>
      </c>
      <c r="K4420" s="2">
        <v>6400</v>
      </c>
      <c r="L4420" s="9"/>
      <c r="M4420" s="2">
        <v>7000</v>
      </c>
      <c r="N4420" s="9"/>
      <c r="O4420" s="2">
        <v>0</v>
      </c>
      <c r="P4420" s="9"/>
      <c r="Q4420" s="2">
        <f t="shared" si="124"/>
        <v>7000</v>
      </c>
      <c r="T4420" s="11"/>
    </row>
    <row r="4421" spans="1:20" ht="11.85" hidden="1" customHeight="1" x14ac:dyDescent="0.2">
      <c r="A4421" s="3" t="s">
        <v>1770</v>
      </c>
      <c r="C4421" s="2">
        <v>0</v>
      </c>
      <c r="E4421" s="2">
        <v>0</v>
      </c>
      <c r="G4421" s="2">
        <v>0</v>
      </c>
      <c r="I4421" s="2">
        <v>0</v>
      </c>
      <c r="K4421" s="2">
        <v>0</v>
      </c>
      <c r="L4421" s="9"/>
      <c r="M4421" s="2">
        <v>0</v>
      </c>
      <c r="N4421" s="9"/>
      <c r="O4421" s="2">
        <v>0</v>
      </c>
      <c r="P4421" s="9"/>
      <c r="Q4421" s="2">
        <f t="shared" si="124"/>
        <v>0</v>
      </c>
      <c r="T4421" s="11"/>
    </row>
    <row r="4422" spans="1:20" ht="11.85" hidden="1" customHeight="1" x14ac:dyDescent="0.2">
      <c r="A4422" s="3" t="s">
        <v>1771</v>
      </c>
      <c r="C4422" s="2">
        <v>0</v>
      </c>
      <c r="E4422" s="2">
        <v>0</v>
      </c>
      <c r="G4422" s="2">
        <v>0</v>
      </c>
      <c r="I4422" s="2">
        <v>0</v>
      </c>
      <c r="K4422" s="2">
        <v>0</v>
      </c>
      <c r="L4422" s="9"/>
      <c r="M4422" s="2">
        <v>0</v>
      </c>
      <c r="N4422" s="9"/>
      <c r="O4422" s="2">
        <v>0</v>
      </c>
      <c r="P4422" s="9"/>
      <c r="Q4422" s="2">
        <f t="shared" si="124"/>
        <v>0</v>
      </c>
      <c r="T4422" s="11"/>
    </row>
    <row r="4423" spans="1:20" ht="11.85" customHeight="1" x14ac:dyDescent="0.2">
      <c r="A4423" s="3" t="s">
        <v>1772</v>
      </c>
      <c r="C4423" s="2">
        <v>0</v>
      </c>
      <c r="E4423" s="2">
        <v>0</v>
      </c>
      <c r="G4423" s="2">
        <v>0</v>
      </c>
      <c r="I4423" s="2">
        <v>500</v>
      </c>
      <c r="K4423" s="2">
        <v>500</v>
      </c>
      <c r="L4423" s="9"/>
      <c r="M4423" s="2">
        <v>0</v>
      </c>
      <c r="N4423" s="9"/>
      <c r="O4423" s="2">
        <v>0</v>
      </c>
      <c r="P4423" s="9"/>
      <c r="Q4423" s="2">
        <f t="shared" si="124"/>
        <v>0</v>
      </c>
      <c r="T4423" s="11"/>
    </row>
    <row r="4424" spans="1:20" ht="11.85" customHeight="1" x14ac:dyDescent="0.2">
      <c r="A4424" s="3" t="s">
        <v>1773</v>
      </c>
      <c r="C4424" s="2">
        <v>0</v>
      </c>
      <c r="E4424" s="2">
        <v>0</v>
      </c>
      <c r="G4424" s="2">
        <v>1598</v>
      </c>
      <c r="I4424" s="2">
        <v>0</v>
      </c>
      <c r="K4424" s="2">
        <v>0</v>
      </c>
      <c r="L4424" s="9"/>
      <c r="M4424" s="2">
        <v>0</v>
      </c>
      <c r="N4424" s="9"/>
      <c r="O4424" s="2">
        <v>0</v>
      </c>
      <c r="P4424" s="9"/>
      <c r="Q4424" s="2">
        <f t="shared" si="124"/>
        <v>0</v>
      </c>
      <c r="T4424" s="11"/>
    </row>
    <row r="4425" spans="1:20" ht="11.85" customHeight="1" x14ac:dyDescent="0.2">
      <c r="A4425" s="3" t="s">
        <v>1774</v>
      </c>
      <c r="C4425" s="2">
        <v>0</v>
      </c>
      <c r="E4425" s="2">
        <v>0</v>
      </c>
      <c r="G4425" s="2">
        <v>0</v>
      </c>
      <c r="I4425" s="2">
        <v>0</v>
      </c>
      <c r="K4425" s="2">
        <v>0</v>
      </c>
      <c r="L4425" s="9"/>
      <c r="M4425" s="2">
        <v>0</v>
      </c>
      <c r="N4425" s="9"/>
      <c r="O4425" s="2">
        <v>0</v>
      </c>
      <c r="P4425" s="9"/>
      <c r="Q4425" s="2">
        <f t="shared" si="124"/>
        <v>0</v>
      </c>
      <c r="T4425" s="11"/>
    </row>
    <row r="4426" spans="1:20" ht="11.85" hidden="1" customHeight="1" x14ac:dyDescent="0.2">
      <c r="A4426" s="3" t="s">
        <v>1775</v>
      </c>
      <c r="C4426" s="2">
        <v>0</v>
      </c>
      <c r="E4426" s="2">
        <v>0</v>
      </c>
      <c r="G4426" s="2">
        <v>0</v>
      </c>
      <c r="I4426" s="2">
        <v>0</v>
      </c>
      <c r="K4426" s="2">
        <v>0</v>
      </c>
      <c r="L4426" s="9"/>
      <c r="M4426" s="2">
        <v>0</v>
      </c>
      <c r="N4426" s="9"/>
      <c r="O4426" s="2">
        <v>0</v>
      </c>
      <c r="P4426" s="9"/>
      <c r="Q4426" s="2">
        <f t="shared" si="124"/>
        <v>0</v>
      </c>
      <c r="T4426" s="11"/>
    </row>
    <row r="4427" spans="1:20" ht="11.85" customHeight="1" x14ac:dyDescent="0.2">
      <c r="A4427" s="3" t="s">
        <v>1776</v>
      </c>
      <c r="C4427" s="2">
        <v>0</v>
      </c>
      <c r="E4427" s="2">
        <v>0</v>
      </c>
      <c r="G4427" s="2">
        <v>0</v>
      </c>
      <c r="I4427" s="2">
        <v>100</v>
      </c>
      <c r="K4427" s="2">
        <v>100</v>
      </c>
      <c r="L4427" s="9"/>
      <c r="M4427" s="2">
        <v>100</v>
      </c>
      <c r="N4427" s="9"/>
      <c r="O4427" s="2">
        <v>0</v>
      </c>
      <c r="P4427" s="9"/>
      <c r="Q4427" s="2">
        <f t="shared" si="124"/>
        <v>100</v>
      </c>
      <c r="T4427" s="11"/>
    </row>
    <row r="4428" spans="1:20" ht="11.85" customHeight="1" x14ac:dyDescent="0.2">
      <c r="A4428" s="3" t="s">
        <v>1777</v>
      </c>
      <c r="C4428" s="2">
        <v>0</v>
      </c>
      <c r="E4428" s="2">
        <v>0</v>
      </c>
      <c r="G4428" s="2">
        <v>0</v>
      </c>
      <c r="I4428" s="2">
        <v>0</v>
      </c>
      <c r="K4428" s="2">
        <v>0</v>
      </c>
      <c r="L4428" s="9"/>
      <c r="M4428" s="2">
        <v>0</v>
      </c>
      <c r="N4428" s="9"/>
      <c r="O4428" s="2">
        <v>0</v>
      </c>
      <c r="P4428" s="9"/>
      <c r="Q4428" s="2">
        <f t="shared" si="124"/>
        <v>0</v>
      </c>
      <c r="T4428" s="11"/>
    </row>
    <row r="4429" spans="1:20" ht="11.85" customHeight="1" x14ac:dyDescent="0.2">
      <c r="A4429" s="3" t="s">
        <v>1778</v>
      </c>
      <c r="C4429" s="2">
        <v>0</v>
      </c>
      <c r="E4429" s="2">
        <v>150</v>
      </c>
      <c r="G4429" s="2">
        <v>100</v>
      </c>
      <c r="I4429" s="2">
        <v>150</v>
      </c>
      <c r="K4429" s="2">
        <v>150</v>
      </c>
      <c r="L4429" s="9"/>
      <c r="M4429" s="2">
        <v>150</v>
      </c>
      <c r="N4429" s="9"/>
      <c r="O4429" s="2">
        <v>0</v>
      </c>
      <c r="P4429" s="9"/>
      <c r="Q4429" s="2">
        <f t="shared" si="124"/>
        <v>150</v>
      </c>
      <c r="T4429" s="11"/>
    </row>
    <row r="4430" spans="1:20" ht="11.85" hidden="1" customHeight="1" x14ac:dyDescent="0.2">
      <c r="A4430" s="3" t="s">
        <v>1779</v>
      </c>
      <c r="C4430" s="2">
        <v>0</v>
      </c>
      <c r="E4430" s="2">
        <v>0</v>
      </c>
      <c r="G4430" s="2">
        <v>0</v>
      </c>
      <c r="I4430" s="2">
        <v>0</v>
      </c>
      <c r="K4430" s="2">
        <v>0</v>
      </c>
      <c r="L4430" s="9"/>
      <c r="M4430" s="2">
        <v>0</v>
      </c>
      <c r="N4430" s="9"/>
      <c r="O4430" s="2">
        <v>0</v>
      </c>
      <c r="P4430" s="9"/>
      <c r="Q4430" s="2">
        <f t="shared" si="124"/>
        <v>0</v>
      </c>
      <c r="T4430" s="11"/>
    </row>
    <row r="4431" spans="1:20" ht="11.85" hidden="1" customHeight="1" x14ac:dyDescent="0.2">
      <c r="A4431" s="3" t="s">
        <v>1780</v>
      </c>
      <c r="C4431" s="2">
        <v>0</v>
      </c>
      <c r="E4431" s="2">
        <v>0</v>
      </c>
      <c r="G4431" s="2">
        <v>0</v>
      </c>
      <c r="I4431" s="2">
        <v>0</v>
      </c>
      <c r="K4431" s="2">
        <v>0</v>
      </c>
      <c r="L4431" s="9"/>
      <c r="M4431" s="2">
        <v>0</v>
      </c>
      <c r="N4431" s="9"/>
      <c r="O4431" s="2">
        <v>0</v>
      </c>
      <c r="P4431" s="9"/>
      <c r="Q4431" s="2">
        <f t="shared" si="124"/>
        <v>0</v>
      </c>
      <c r="T4431" s="11"/>
    </row>
    <row r="4432" spans="1:20" ht="11.85" customHeight="1" x14ac:dyDescent="0.2">
      <c r="A4432" s="3" t="s">
        <v>1781</v>
      </c>
      <c r="C4432" s="12">
        <v>0</v>
      </c>
      <c r="E4432" s="12">
        <v>0</v>
      </c>
      <c r="G4432" s="12">
        <v>0</v>
      </c>
      <c r="I4432" s="12">
        <v>0</v>
      </c>
      <c r="K4432" s="12">
        <v>0</v>
      </c>
      <c r="L4432" s="9"/>
      <c r="M4432" s="12">
        <v>0</v>
      </c>
      <c r="N4432" s="9"/>
      <c r="O4432" s="12">
        <v>0</v>
      </c>
      <c r="P4432" s="9"/>
      <c r="Q4432" s="12">
        <f t="shared" si="124"/>
        <v>0</v>
      </c>
      <c r="T4432" s="11"/>
    </row>
    <row r="4433" spans="1:20" ht="11.85" customHeight="1" x14ac:dyDescent="0.2">
      <c r="A4433" s="3" t="s">
        <v>328</v>
      </c>
      <c r="C4433" s="2">
        <f>SUM(C4418:C4432)</f>
        <v>6224.4</v>
      </c>
      <c r="E4433" s="2">
        <f>SUM(E4418:E4432)</f>
        <v>7358.33</v>
      </c>
      <c r="G4433" s="2">
        <f>SUM(G4418:G4432)</f>
        <v>7328.0599999999995</v>
      </c>
      <c r="I4433" s="2">
        <f>SUM(I4418:I4432)</f>
        <v>8350</v>
      </c>
      <c r="K4433" s="2">
        <f>SUM(K4418:K4432)</f>
        <v>8350</v>
      </c>
      <c r="L4433" s="9"/>
      <c r="M4433" s="2">
        <f>SUM(M4418:M4432)</f>
        <v>8450</v>
      </c>
      <c r="N4433" s="9"/>
      <c r="O4433" s="2">
        <f>SUM(O4418:O4432)</f>
        <v>0</v>
      </c>
      <c r="P4433" s="9"/>
      <c r="Q4433" s="2">
        <f>SUM(Q4418:Q4432)</f>
        <v>8450</v>
      </c>
      <c r="T4433" s="14"/>
    </row>
    <row r="4434" spans="1:20" ht="11.85" customHeight="1" x14ac:dyDescent="0.2">
      <c r="L4434" s="9"/>
      <c r="N4434" s="9"/>
      <c r="P4434" s="9"/>
    </row>
    <row r="4435" spans="1:20" ht="11.85" customHeight="1" x14ac:dyDescent="0.2">
      <c r="A4435" s="3" t="s">
        <v>1782</v>
      </c>
      <c r="C4435" s="2">
        <f>C4405+C4415+C4433</f>
        <v>301740.58</v>
      </c>
      <c r="E4435" s="2">
        <f>E4405+E4415+E4433</f>
        <v>301015.69</v>
      </c>
      <c r="G4435" s="2">
        <f>G4405+G4415+G4433</f>
        <v>296238.10000000003</v>
      </c>
      <c r="I4435" s="2">
        <f>I4405+I4415+I4433</f>
        <v>311441</v>
      </c>
      <c r="K4435" s="2">
        <f>K4405+K4415+K4433</f>
        <v>311441</v>
      </c>
      <c r="L4435" s="9"/>
      <c r="M4435" s="2">
        <f>M4405+M4415+M4433</f>
        <v>327366</v>
      </c>
      <c r="N4435" s="9"/>
      <c r="O4435" s="2">
        <f>O4405+O4415+O4433</f>
        <v>9800</v>
      </c>
      <c r="P4435" s="9"/>
      <c r="Q4435" s="2">
        <f>Q4405+Q4415+Q4433</f>
        <v>337166</v>
      </c>
      <c r="R4435" s="9"/>
      <c r="T4435" s="11"/>
    </row>
    <row r="4436" spans="1:20" ht="11.85" customHeight="1" x14ac:dyDescent="0.2">
      <c r="L4436" s="9"/>
      <c r="N4436" s="9"/>
      <c r="P4436" s="9"/>
    </row>
    <row r="4437" spans="1:20" ht="11.85" customHeight="1" x14ac:dyDescent="0.2">
      <c r="L4437" s="9"/>
      <c r="N4437" s="9"/>
      <c r="P4437" s="9"/>
    </row>
    <row r="4438" spans="1:20" ht="11.85" customHeight="1" x14ac:dyDescent="0.2">
      <c r="L4438" s="9"/>
      <c r="N4438" s="9"/>
      <c r="P4438" s="9"/>
    </row>
    <row r="4439" spans="1:20" ht="11.85" customHeight="1" x14ac:dyDescent="0.2">
      <c r="L4439" s="9"/>
      <c r="N4439" s="9"/>
      <c r="P4439" s="9"/>
    </row>
    <row r="4440" spans="1:20" ht="11.85" customHeight="1" x14ac:dyDescent="0.2">
      <c r="L4440" s="9"/>
      <c r="N4440" s="9"/>
      <c r="P4440" s="9"/>
    </row>
    <row r="4441" spans="1:20" ht="11.85" customHeight="1" x14ac:dyDescent="0.2">
      <c r="L4441" s="9"/>
      <c r="N4441" s="9"/>
      <c r="P4441" s="9"/>
    </row>
    <row r="4442" spans="1:20" ht="11.85" customHeight="1" x14ac:dyDescent="0.2">
      <c r="L4442" s="9"/>
      <c r="N4442" s="9"/>
      <c r="P4442" s="9"/>
    </row>
    <row r="4443" spans="1:20" ht="11.85" customHeight="1" x14ac:dyDescent="0.2">
      <c r="L4443" s="9"/>
      <c r="N4443" s="9"/>
      <c r="P4443" s="9"/>
    </row>
    <row r="4444" spans="1:20" ht="11.85" customHeight="1" x14ac:dyDescent="0.2">
      <c r="L4444" s="9"/>
      <c r="N4444" s="9"/>
      <c r="P4444" s="9"/>
    </row>
    <row r="4445" spans="1:20" ht="11.85" customHeight="1" x14ac:dyDescent="0.2">
      <c r="L4445" s="9"/>
      <c r="N4445" s="9"/>
      <c r="P4445" s="9"/>
    </row>
    <row r="4446" spans="1:20" ht="11.85" customHeight="1" x14ac:dyDescent="0.2">
      <c r="L4446" s="9"/>
      <c r="N4446" s="9"/>
      <c r="P4446" s="9"/>
    </row>
    <row r="4447" spans="1:20" ht="11.85" customHeight="1" x14ac:dyDescent="0.2">
      <c r="L4447" s="9"/>
      <c r="N4447" s="9"/>
      <c r="P4447" s="9"/>
    </row>
    <row r="4448" spans="1:20" ht="11.85" customHeight="1" x14ac:dyDescent="0.2">
      <c r="L4448" s="9"/>
      <c r="N4448" s="9"/>
      <c r="P4448" s="9"/>
    </row>
    <row r="4449" spans="1:20" ht="11.85" customHeight="1" x14ac:dyDescent="0.2">
      <c r="L4449" s="9"/>
      <c r="N4449" s="9"/>
      <c r="P4449" s="9"/>
    </row>
    <row r="4450" spans="1:20" ht="11.85" customHeight="1" x14ac:dyDescent="0.2">
      <c r="L4450" s="9"/>
      <c r="N4450" s="9"/>
      <c r="P4450" s="9"/>
    </row>
    <row r="4451" spans="1:20" ht="11.85" customHeight="1" x14ac:dyDescent="0.2">
      <c r="L4451" s="9"/>
      <c r="N4451" s="9"/>
      <c r="P4451" s="9"/>
    </row>
    <row r="4452" spans="1:20" ht="11.85" customHeight="1" x14ac:dyDescent="0.2">
      <c r="A4452" s="1"/>
      <c r="B4452" s="1"/>
      <c r="E4452" s="2" t="str">
        <f>$E$1</f>
        <v>CITY OF BRADY</v>
      </c>
    </row>
    <row r="4453" spans="1:20" ht="11.85" customHeight="1" x14ac:dyDescent="0.2">
      <c r="E4453" s="2" t="str">
        <f>$E$2</f>
        <v>BUDGET REPORT</v>
      </c>
    </row>
    <row r="4454" spans="1:20" ht="11.85" customHeight="1" x14ac:dyDescent="0.2">
      <c r="E4454" s="2" t="str">
        <f>$E$3</f>
        <v>FISCAL YEAR 2024 - 2025</v>
      </c>
    </row>
    <row r="4455" spans="1:20" ht="11.85" customHeight="1" x14ac:dyDescent="0.2">
      <c r="A4455" s="3" t="s">
        <v>1688</v>
      </c>
    </row>
    <row r="4456" spans="1:20" ht="11.85" customHeight="1" x14ac:dyDescent="0.2">
      <c r="A4456" s="3" t="s">
        <v>1783</v>
      </c>
    </row>
    <row r="4457" spans="1:20" ht="11.85" customHeight="1" x14ac:dyDescent="0.2">
      <c r="I4457" s="53" t="str">
        <f>$I$6</f>
        <v>(----- 2023-2024------)</v>
      </c>
      <c r="J4457" s="53"/>
      <c r="K4457" s="53"/>
      <c r="L4457" s="6"/>
      <c r="M4457" s="54" t="str">
        <f>$M$6</f>
        <v>2024-2025</v>
      </c>
      <c r="N4457" s="54"/>
      <c r="O4457" s="54"/>
      <c r="P4457" s="54"/>
      <c r="Q4457" s="54"/>
    </row>
    <row r="4458" spans="1:20" ht="11.85" customHeight="1" x14ac:dyDescent="0.2">
      <c r="C4458" s="5" t="str">
        <f>$C$7</f>
        <v>2020-2021</v>
      </c>
      <c r="D4458" s="5"/>
      <c r="E4458" s="5" t="str">
        <f>$E$7</f>
        <v>2021-2022</v>
      </c>
      <c r="F4458" s="5"/>
      <c r="G4458" s="5" t="str">
        <f>$G$7</f>
        <v>2022-2023</v>
      </c>
      <c r="H4458" s="5"/>
      <c r="I4458" s="5" t="s">
        <v>9</v>
      </c>
      <c r="J4458" s="5"/>
      <c r="K4458" s="5" t="str">
        <f>+$K$7</f>
        <v>PROJECTED</v>
      </c>
      <c r="L4458" s="6"/>
      <c r="M4458" s="5">
        <f>$M$7</f>
        <v>0</v>
      </c>
      <c r="N4458" s="6"/>
      <c r="O4458" s="5" t="str">
        <f>$O$7</f>
        <v>2024-2025</v>
      </c>
      <c r="P4458" s="6"/>
      <c r="Q4458" s="5" t="str">
        <f>$Q$7</f>
        <v>APPROVED</v>
      </c>
    </row>
    <row r="4459" spans="1:20" ht="11.85" customHeight="1" x14ac:dyDescent="0.2">
      <c r="A4459" s="7" t="s">
        <v>273</v>
      </c>
      <c r="C4459" s="8" t="s">
        <v>12</v>
      </c>
      <c r="D4459" s="5"/>
      <c r="E4459" s="8" t="s">
        <v>12</v>
      </c>
      <c r="F4459" s="5"/>
      <c r="G4459" s="8" t="s">
        <v>12</v>
      </c>
      <c r="H4459" s="5"/>
      <c r="I4459" s="8" t="s">
        <v>13</v>
      </c>
      <c r="J4459" s="5"/>
      <c r="K4459" s="8" t="s">
        <v>13</v>
      </c>
      <c r="L4459" s="6"/>
      <c r="M4459" s="8" t="str">
        <f>$M$8</f>
        <v>BASE</v>
      </c>
      <c r="N4459" s="6"/>
      <c r="O4459" s="8" t="str">
        <f>$O$8</f>
        <v>SUPPLEMENTAL</v>
      </c>
      <c r="P4459" s="6"/>
      <c r="Q4459" s="8" t="str">
        <f>$Q$8</f>
        <v>BUDGET</v>
      </c>
    </row>
    <row r="4460" spans="1:20" ht="11.85" customHeight="1" x14ac:dyDescent="0.2"/>
    <row r="4461" spans="1:20" ht="11.85" customHeight="1" x14ac:dyDescent="0.2">
      <c r="A4461" s="10" t="s">
        <v>286</v>
      </c>
    </row>
    <row r="4462" spans="1:20" ht="11.85" customHeight="1" x14ac:dyDescent="0.2">
      <c r="A4462" s="3" t="s">
        <v>1784</v>
      </c>
      <c r="C4462" s="2">
        <v>21521.77</v>
      </c>
      <c r="E4462" s="2">
        <v>23836.67</v>
      </c>
      <c r="G4462" s="2">
        <v>22682.67</v>
      </c>
      <c r="I4462" s="2">
        <v>23000</v>
      </c>
      <c r="K4462" s="2">
        <v>23000</v>
      </c>
      <c r="L4462" s="9"/>
      <c r="M4462" s="2">
        <v>23000</v>
      </c>
      <c r="N4462" s="9"/>
      <c r="O4462" s="2">
        <v>0</v>
      </c>
      <c r="P4462" s="9"/>
      <c r="Q4462" s="2">
        <f t="shared" ref="Q4462:Q4471" si="125">M4462+O4462</f>
        <v>23000</v>
      </c>
      <c r="T4462" s="11"/>
    </row>
    <row r="4463" spans="1:20" ht="10.5" customHeight="1" x14ac:dyDescent="0.2">
      <c r="A4463" s="3" t="s">
        <v>1785</v>
      </c>
      <c r="C4463" s="2">
        <v>0</v>
      </c>
      <c r="E4463" s="2">
        <v>0</v>
      </c>
      <c r="G4463" s="2">
        <v>0</v>
      </c>
      <c r="I4463" s="2">
        <v>500</v>
      </c>
      <c r="K4463" s="2">
        <v>500</v>
      </c>
      <c r="L4463" s="9"/>
      <c r="M4463" s="2">
        <v>500</v>
      </c>
      <c r="N4463" s="9"/>
      <c r="O4463" s="2">
        <v>0</v>
      </c>
      <c r="P4463" s="9"/>
      <c r="Q4463" s="2">
        <f t="shared" si="125"/>
        <v>500</v>
      </c>
      <c r="T4463" s="11"/>
    </row>
    <row r="4464" spans="1:20" ht="11.85" hidden="1" customHeight="1" x14ac:dyDescent="0.2">
      <c r="A4464" s="3" t="s">
        <v>1786</v>
      </c>
      <c r="C4464" s="2">
        <v>0</v>
      </c>
      <c r="E4464" s="2">
        <v>0</v>
      </c>
      <c r="G4464" s="2">
        <v>0</v>
      </c>
      <c r="I4464" s="2">
        <v>0</v>
      </c>
      <c r="K4464" s="2">
        <v>0</v>
      </c>
      <c r="L4464" s="9"/>
      <c r="M4464" s="2">
        <v>0</v>
      </c>
      <c r="N4464" s="9"/>
      <c r="O4464" s="2">
        <v>0</v>
      </c>
      <c r="P4464" s="9"/>
      <c r="Q4464" s="2">
        <f t="shared" si="125"/>
        <v>0</v>
      </c>
      <c r="T4464" s="11"/>
    </row>
    <row r="4465" spans="1:21" ht="11.85" customHeight="1" x14ac:dyDescent="0.2">
      <c r="A4465" s="3" t="s">
        <v>1787</v>
      </c>
      <c r="C4465" s="2">
        <v>3264.35</v>
      </c>
      <c r="E4465" s="2">
        <v>2482.42</v>
      </c>
      <c r="G4465" s="2">
        <v>2328.7600000000002</v>
      </c>
      <c r="I4465" s="2">
        <v>4300</v>
      </c>
      <c r="K4465" s="2">
        <v>4300</v>
      </c>
      <c r="L4465" s="9"/>
      <c r="M4465" s="2">
        <v>4300</v>
      </c>
      <c r="N4465" s="9"/>
      <c r="O4465" s="2">
        <v>0</v>
      </c>
      <c r="P4465" s="9"/>
      <c r="Q4465" s="2">
        <f t="shared" si="125"/>
        <v>4300</v>
      </c>
      <c r="T4465" s="11"/>
    </row>
    <row r="4466" spans="1:21" ht="11.85" customHeight="1" x14ac:dyDescent="0.2">
      <c r="A4466" s="3" t="s">
        <v>1788</v>
      </c>
      <c r="C4466" s="2">
        <v>2982.4</v>
      </c>
      <c r="E4466" s="2">
        <v>3280.64</v>
      </c>
      <c r="G4466" s="2">
        <v>3198.1</v>
      </c>
      <c r="I4466" s="2">
        <v>3600</v>
      </c>
      <c r="K4466" s="2">
        <v>3600</v>
      </c>
      <c r="L4466" s="9"/>
      <c r="M4466" s="2">
        <v>3600</v>
      </c>
      <c r="N4466" s="9"/>
      <c r="O4466" s="2">
        <v>0</v>
      </c>
      <c r="P4466" s="9"/>
      <c r="Q4466" s="2">
        <f t="shared" si="125"/>
        <v>3600</v>
      </c>
      <c r="T4466" s="11"/>
    </row>
    <row r="4467" spans="1:21" ht="11.85" customHeight="1" x14ac:dyDescent="0.2">
      <c r="A4467" s="3" t="s">
        <v>1789</v>
      </c>
      <c r="C4467" s="2">
        <v>0</v>
      </c>
      <c r="E4467" s="2">
        <v>0</v>
      </c>
      <c r="G4467" s="2">
        <v>0</v>
      </c>
      <c r="I4467" s="2">
        <v>0</v>
      </c>
      <c r="K4467" s="2">
        <v>0</v>
      </c>
      <c r="L4467" s="9"/>
      <c r="M4467" s="2">
        <v>0</v>
      </c>
      <c r="N4467" s="9"/>
      <c r="O4467" s="2">
        <v>0</v>
      </c>
      <c r="P4467" s="9"/>
      <c r="Q4467" s="2">
        <f t="shared" si="125"/>
        <v>0</v>
      </c>
      <c r="T4467" s="11"/>
    </row>
    <row r="4468" spans="1:21" ht="11.85" customHeight="1" x14ac:dyDescent="0.2">
      <c r="A4468" s="3" t="s">
        <v>1790</v>
      </c>
      <c r="C4468" s="2">
        <v>7821.97</v>
      </c>
      <c r="E4468" s="2">
        <v>6119.81</v>
      </c>
      <c r="G4468" s="2">
        <v>16579.849999999999</v>
      </c>
      <c r="I4468" s="2">
        <v>21500</v>
      </c>
      <c r="K4468" s="2">
        <v>21500</v>
      </c>
      <c r="L4468" s="9"/>
      <c r="M4468" s="2">
        <v>23000</v>
      </c>
      <c r="N4468" s="9"/>
      <c r="O4468" s="2">
        <v>0</v>
      </c>
      <c r="P4468" s="9"/>
      <c r="Q4468" s="2">
        <f t="shared" si="125"/>
        <v>23000</v>
      </c>
      <c r="T4468" s="11"/>
    </row>
    <row r="4469" spans="1:21" ht="11.85" customHeight="1" x14ac:dyDescent="0.2">
      <c r="A4469" s="3" t="s">
        <v>1791</v>
      </c>
      <c r="C4469" s="2">
        <v>292.06</v>
      </c>
      <c r="E4469" s="2">
        <v>600</v>
      </c>
      <c r="G4469" s="2">
        <v>919.99</v>
      </c>
      <c r="I4469" s="2">
        <v>2000</v>
      </c>
      <c r="K4469" s="2">
        <v>2000</v>
      </c>
      <c r="L4469" s="9"/>
      <c r="M4469" s="2">
        <v>1000</v>
      </c>
      <c r="N4469" s="9"/>
      <c r="O4469" s="2">
        <v>0</v>
      </c>
      <c r="P4469" s="9"/>
      <c r="Q4469" s="2">
        <f>M4469+O4469</f>
        <v>1000</v>
      </c>
      <c r="T4469" s="11"/>
    </row>
    <row r="4470" spans="1:21" ht="11.85" customHeight="1" x14ac:dyDescent="0.2">
      <c r="A4470" s="3" t="s">
        <v>1792</v>
      </c>
      <c r="C4470" s="2">
        <v>56160</v>
      </c>
      <c r="E4470" s="2">
        <v>70024.039999999994</v>
      </c>
      <c r="G4470" s="2">
        <v>69456.649999999994</v>
      </c>
      <c r="I4470" s="2">
        <v>66500</v>
      </c>
      <c r="K4470" s="2">
        <v>66500</v>
      </c>
      <c r="L4470" s="9"/>
      <c r="M4470" s="2">
        <v>66500</v>
      </c>
      <c r="N4470" s="9"/>
      <c r="O4470" s="2">
        <v>0</v>
      </c>
      <c r="P4470" s="9"/>
      <c r="Q4470" s="2">
        <f>M4470+O4470</f>
        <v>66500</v>
      </c>
      <c r="T4470" s="11"/>
    </row>
    <row r="4471" spans="1:21" ht="11.85" customHeight="1" x14ac:dyDescent="0.2">
      <c r="A4471" s="3" t="s">
        <v>1793</v>
      </c>
      <c r="C4471" s="12">
        <v>26664</v>
      </c>
      <c r="E4471" s="12">
        <v>26664</v>
      </c>
      <c r="G4471" s="12">
        <v>23784.84</v>
      </c>
      <c r="I4471" s="12">
        <v>23000</v>
      </c>
      <c r="K4471" s="12">
        <v>23000</v>
      </c>
      <c r="L4471" s="9"/>
      <c r="M4471" s="12">
        <v>23000</v>
      </c>
      <c r="N4471" s="9"/>
      <c r="O4471" s="12">
        <v>0</v>
      </c>
      <c r="P4471" s="9"/>
      <c r="Q4471" s="12">
        <f t="shared" si="125"/>
        <v>23000</v>
      </c>
      <c r="T4471" s="11"/>
    </row>
    <row r="4472" spans="1:21" ht="11.85" customHeight="1" x14ac:dyDescent="0.2">
      <c r="A4472" s="3" t="s">
        <v>304</v>
      </c>
      <c r="C4472" s="2">
        <f>SUM(C4462:C4471)</f>
        <v>118706.54999999999</v>
      </c>
      <c r="E4472" s="2">
        <f>SUM(E4462:E4471)</f>
        <v>133007.57999999999</v>
      </c>
      <c r="G4472" s="2">
        <f>SUM(G4462:G4471)</f>
        <v>138950.85999999999</v>
      </c>
      <c r="I4472" s="2">
        <f>SUM(I4462:I4471)</f>
        <v>144400</v>
      </c>
      <c r="K4472" s="2">
        <f>SUM(K4462:K4471)</f>
        <v>144400</v>
      </c>
      <c r="L4472" s="9"/>
      <c r="M4472" s="2">
        <f>SUM(M4462:M4471)</f>
        <v>144900</v>
      </c>
      <c r="N4472" s="9"/>
      <c r="O4472" s="2">
        <f>SUM(O4462:O4471)</f>
        <v>0</v>
      </c>
      <c r="P4472" s="9"/>
      <c r="Q4472" s="2">
        <f>SUM(Q4462:Q4471)</f>
        <v>144900</v>
      </c>
      <c r="R4472" s="9"/>
      <c r="T4472" s="11"/>
      <c r="U4472" s="9"/>
    </row>
    <row r="4473" spans="1:21" ht="11.85" customHeight="1" x14ac:dyDescent="0.2">
      <c r="L4473" s="9"/>
      <c r="N4473" s="9"/>
      <c r="P4473" s="9"/>
      <c r="T4473" s="11"/>
    </row>
    <row r="4474" spans="1:21" ht="11.85" customHeight="1" x14ac:dyDescent="0.2">
      <c r="A4474" s="10" t="s">
        <v>305</v>
      </c>
      <c r="L4474" s="9"/>
      <c r="N4474" s="9"/>
      <c r="P4474" s="9"/>
      <c r="T4474" s="11"/>
    </row>
    <row r="4475" spans="1:21" ht="11.85" customHeight="1" x14ac:dyDescent="0.2">
      <c r="A4475" s="3" t="s">
        <v>1794</v>
      </c>
      <c r="C4475" s="2">
        <v>2350.41</v>
      </c>
      <c r="E4475" s="2">
        <v>1836.95</v>
      </c>
      <c r="G4475" s="2">
        <v>3559.79</v>
      </c>
      <c r="I4475" s="2">
        <v>2500</v>
      </c>
      <c r="K4475" s="2">
        <f>2500+2800</f>
        <v>5300</v>
      </c>
      <c r="L4475" s="9"/>
      <c r="M4475" s="2">
        <v>5300</v>
      </c>
      <c r="N4475" s="9"/>
      <c r="O4475" s="2">
        <v>0</v>
      </c>
      <c r="P4475" s="9"/>
      <c r="Q4475" s="2">
        <f t="shared" ref="Q4475:Q4485" si="126">M4475+O4475</f>
        <v>5300</v>
      </c>
      <c r="T4475" s="11"/>
    </row>
    <row r="4476" spans="1:21" ht="11.85" customHeight="1" x14ac:dyDescent="0.2">
      <c r="A4476" s="3" t="s">
        <v>1795</v>
      </c>
      <c r="C4476" s="2">
        <v>14562.99</v>
      </c>
      <c r="E4476" s="2">
        <v>16467.39</v>
      </c>
      <c r="G4476" s="2">
        <v>13533.85</v>
      </c>
      <c r="I4476" s="2">
        <v>18000</v>
      </c>
      <c r="K4476" s="2">
        <v>18000</v>
      </c>
      <c r="L4476" s="9"/>
      <c r="M4476" s="2">
        <v>18000</v>
      </c>
      <c r="N4476" s="9"/>
      <c r="O4476" s="2">
        <v>0</v>
      </c>
      <c r="P4476" s="9"/>
      <c r="Q4476" s="2">
        <f t="shared" si="126"/>
        <v>18000</v>
      </c>
      <c r="T4476" s="11"/>
    </row>
    <row r="4477" spans="1:21" ht="11.85" customHeight="1" x14ac:dyDescent="0.2">
      <c r="A4477" s="3" t="s">
        <v>1796</v>
      </c>
      <c r="C4477" s="2">
        <v>5095.29</v>
      </c>
      <c r="E4477" s="2">
        <v>6022.33</v>
      </c>
      <c r="G4477" s="2">
        <v>5233.8999999999996</v>
      </c>
      <c r="I4477" s="2">
        <v>10000</v>
      </c>
      <c r="K4477" s="2">
        <f>10000-2800</f>
        <v>7200</v>
      </c>
      <c r="L4477" s="9"/>
      <c r="M4477" s="2">
        <v>10000</v>
      </c>
      <c r="N4477" s="9"/>
      <c r="O4477" s="2">
        <v>0</v>
      </c>
      <c r="P4477" s="9"/>
      <c r="Q4477" s="2">
        <f t="shared" si="126"/>
        <v>10000</v>
      </c>
      <c r="T4477" s="11"/>
    </row>
    <row r="4478" spans="1:21" ht="11.85" customHeight="1" x14ac:dyDescent="0.2">
      <c r="A4478" s="3" t="s">
        <v>1797</v>
      </c>
      <c r="C4478" s="2">
        <v>0</v>
      </c>
      <c r="E4478" s="2">
        <v>0</v>
      </c>
      <c r="G4478" s="2">
        <v>0</v>
      </c>
      <c r="I4478" s="2">
        <v>0</v>
      </c>
      <c r="K4478" s="2">
        <v>0</v>
      </c>
      <c r="L4478" s="9"/>
      <c r="M4478" s="2">
        <v>0</v>
      </c>
      <c r="N4478" s="9"/>
      <c r="O4478" s="2">
        <v>0</v>
      </c>
      <c r="P4478" s="9"/>
      <c r="Q4478" s="2">
        <f t="shared" si="126"/>
        <v>0</v>
      </c>
      <c r="T4478" s="11"/>
    </row>
    <row r="4479" spans="1:21" ht="11.85" customHeight="1" x14ac:dyDescent="0.2">
      <c r="A4479" s="3" t="s">
        <v>1798</v>
      </c>
      <c r="C4479" s="2">
        <v>4301.34</v>
      </c>
      <c r="E4479" s="2">
        <v>4567.25</v>
      </c>
      <c r="G4479" s="2">
        <v>4376.97</v>
      </c>
      <c r="I4479" s="2">
        <v>4600</v>
      </c>
      <c r="K4479" s="2">
        <v>4600</v>
      </c>
      <c r="L4479" s="9"/>
      <c r="M4479" s="2">
        <v>4600</v>
      </c>
      <c r="N4479" s="9"/>
      <c r="O4479" s="2">
        <v>0</v>
      </c>
      <c r="P4479" s="9"/>
      <c r="Q4479" s="2">
        <f t="shared" si="126"/>
        <v>4600</v>
      </c>
      <c r="T4479" s="11"/>
    </row>
    <row r="4480" spans="1:21" ht="11.85" hidden="1" customHeight="1" x14ac:dyDescent="0.2">
      <c r="A4480" s="3" t="s">
        <v>1799</v>
      </c>
      <c r="C4480" s="2">
        <v>0</v>
      </c>
      <c r="E4480" s="2">
        <v>0</v>
      </c>
      <c r="G4480" s="2">
        <v>0</v>
      </c>
      <c r="I4480" s="2">
        <v>0</v>
      </c>
      <c r="K4480" s="2">
        <v>0</v>
      </c>
      <c r="L4480" s="9"/>
      <c r="M4480" s="2">
        <v>0</v>
      </c>
      <c r="N4480" s="9"/>
      <c r="O4480" s="2">
        <v>0</v>
      </c>
      <c r="P4480" s="9"/>
      <c r="Q4480" s="2">
        <f t="shared" si="126"/>
        <v>0</v>
      </c>
      <c r="T4480" s="11"/>
    </row>
    <row r="4481" spans="1:20" ht="11.85" customHeight="1" x14ac:dyDescent="0.2">
      <c r="A4481" s="3" t="s">
        <v>1800</v>
      </c>
      <c r="C4481" s="2">
        <v>48369.5</v>
      </c>
      <c r="E4481" s="2">
        <v>66521.98</v>
      </c>
      <c r="G4481" s="2">
        <v>75946.53</v>
      </c>
      <c r="I4481" s="2">
        <v>75000</v>
      </c>
      <c r="K4481" s="2">
        <v>75000</v>
      </c>
      <c r="L4481" s="9"/>
      <c r="M4481" s="2">
        <v>85000</v>
      </c>
      <c r="N4481" s="9"/>
      <c r="O4481" s="2">
        <v>0</v>
      </c>
      <c r="P4481" s="9"/>
      <c r="Q4481" s="2">
        <f t="shared" si="126"/>
        <v>85000</v>
      </c>
      <c r="T4481" s="11"/>
    </row>
    <row r="4482" spans="1:20" ht="11.85" hidden="1" customHeight="1" x14ac:dyDescent="0.2">
      <c r="A4482" s="3" t="s">
        <v>1801</v>
      </c>
      <c r="C4482" s="2">
        <v>0</v>
      </c>
      <c r="E4482" s="2">
        <v>0</v>
      </c>
      <c r="G4482" s="2">
        <v>0</v>
      </c>
      <c r="I4482" s="2">
        <v>0</v>
      </c>
      <c r="K4482" s="2">
        <v>0</v>
      </c>
      <c r="L4482" s="9"/>
      <c r="M4482" s="2">
        <v>0</v>
      </c>
      <c r="N4482" s="9"/>
      <c r="O4482" s="2">
        <v>0</v>
      </c>
      <c r="P4482" s="9"/>
      <c r="Q4482" s="2">
        <f t="shared" si="126"/>
        <v>0</v>
      </c>
      <c r="T4482" s="11"/>
    </row>
    <row r="4483" spans="1:20" ht="11.85" customHeight="1" x14ac:dyDescent="0.2">
      <c r="A4483" s="3" t="s">
        <v>1802</v>
      </c>
      <c r="C4483" s="2">
        <v>639.20000000000005</v>
      </c>
      <c r="E4483" s="2">
        <v>780.98</v>
      </c>
      <c r="G4483" s="2">
        <v>1013.53</v>
      </c>
      <c r="I4483" s="2">
        <v>200</v>
      </c>
      <c r="K4483" s="2">
        <v>200</v>
      </c>
      <c r="L4483" s="50"/>
      <c r="M4483" s="2">
        <v>1000</v>
      </c>
      <c r="N4483" s="50"/>
      <c r="O4483" s="2">
        <v>0</v>
      </c>
      <c r="P4483" s="50"/>
      <c r="Q4483" s="2">
        <f t="shared" si="126"/>
        <v>1000</v>
      </c>
      <c r="T4483" s="11"/>
    </row>
    <row r="4484" spans="1:20" ht="11.85" customHeight="1" x14ac:dyDescent="0.2">
      <c r="A4484" s="3" t="s">
        <v>1803</v>
      </c>
      <c r="C4484" s="2">
        <v>8500</v>
      </c>
      <c r="E4484" s="2">
        <v>3597</v>
      </c>
      <c r="G4484" s="2">
        <v>3505</v>
      </c>
      <c r="I4484" s="2">
        <v>5000</v>
      </c>
      <c r="K4484" s="2">
        <v>5000</v>
      </c>
      <c r="L4484" s="9"/>
      <c r="M4484" s="2">
        <v>5000</v>
      </c>
      <c r="N4484" s="9"/>
      <c r="O4484" s="2">
        <v>0</v>
      </c>
      <c r="P4484" s="9"/>
      <c r="Q4484" s="2">
        <f t="shared" si="126"/>
        <v>5000</v>
      </c>
      <c r="T4484" s="11"/>
    </row>
    <row r="4485" spans="1:20" ht="11.85" customHeight="1" x14ac:dyDescent="0.2">
      <c r="A4485" s="3" t="s">
        <v>1804</v>
      </c>
      <c r="C4485" s="12">
        <v>0</v>
      </c>
      <c r="E4485" s="12">
        <v>0</v>
      </c>
      <c r="G4485" s="12">
        <v>0</v>
      </c>
      <c r="I4485" s="12">
        <v>0</v>
      </c>
      <c r="K4485" s="12">
        <v>0</v>
      </c>
      <c r="L4485" s="9"/>
      <c r="M4485" s="12">
        <v>0</v>
      </c>
      <c r="N4485" s="9"/>
      <c r="O4485" s="12">
        <v>0</v>
      </c>
      <c r="P4485" s="9"/>
      <c r="Q4485" s="12">
        <f t="shared" si="126"/>
        <v>0</v>
      </c>
      <c r="T4485" s="11"/>
    </row>
    <row r="4486" spans="1:20" ht="11.85" customHeight="1" x14ac:dyDescent="0.2">
      <c r="A4486" s="3" t="s">
        <v>328</v>
      </c>
      <c r="C4486" s="2">
        <f>SUM(C4475:C4485)</f>
        <v>83818.73</v>
      </c>
      <c r="E4486" s="2">
        <f>SUM(E4475:E4485)</f>
        <v>99793.87999999999</v>
      </c>
      <c r="G4486" s="2">
        <f>SUM(G4475:G4485)</f>
        <v>107169.57</v>
      </c>
      <c r="I4486" s="2">
        <f>SUM(I4475:I4485)</f>
        <v>115300</v>
      </c>
      <c r="K4486" s="2">
        <f>SUM(K4475:K4485)</f>
        <v>115300</v>
      </c>
      <c r="L4486" s="9"/>
      <c r="M4486" s="2">
        <f>SUM(M4475:M4485)</f>
        <v>128900</v>
      </c>
      <c r="N4486" s="9"/>
      <c r="O4486" s="2">
        <f>SUM(O4475:O4485)</f>
        <v>0</v>
      </c>
      <c r="P4486" s="9"/>
      <c r="Q4486" s="2">
        <f>SUM(Q4475:Q4485)</f>
        <v>128900</v>
      </c>
      <c r="R4486" s="2"/>
      <c r="T4486" s="11"/>
    </row>
    <row r="4487" spans="1:20" ht="11.85" customHeight="1" x14ac:dyDescent="0.2">
      <c r="L4487" s="9"/>
      <c r="N4487" s="9"/>
      <c r="P4487" s="9"/>
      <c r="T4487" s="11"/>
    </row>
    <row r="4488" spans="1:20" ht="11.85" customHeight="1" x14ac:dyDescent="0.2">
      <c r="A4488" s="3" t="s">
        <v>1805</v>
      </c>
      <c r="C4488" s="2">
        <v>0</v>
      </c>
      <c r="E4488" s="2">
        <v>0</v>
      </c>
      <c r="G4488" s="2">
        <v>0</v>
      </c>
      <c r="I4488" s="2">
        <v>0</v>
      </c>
      <c r="K4488" s="2">
        <v>0</v>
      </c>
      <c r="L4488" s="9"/>
      <c r="M4488" s="2">
        <v>0</v>
      </c>
      <c r="N4488" s="9"/>
      <c r="O4488" s="2">
        <v>0</v>
      </c>
      <c r="P4488" s="9"/>
      <c r="Q4488" s="2">
        <f>M4488+O4488</f>
        <v>0</v>
      </c>
      <c r="T4488" s="11"/>
    </row>
    <row r="4489" spans="1:20" ht="11.85" customHeight="1" x14ac:dyDescent="0.2">
      <c r="A4489" s="3" t="s">
        <v>1806</v>
      </c>
      <c r="C4489" s="12">
        <v>8994.2800000000007</v>
      </c>
      <c r="E4489" s="12">
        <v>9075.6299999999992</v>
      </c>
      <c r="G4489" s="12">
        <v>124581.03</v>
      </c>
      <c r="I4489" s="12">
        <v>17000</v>
      </c>
      <c r="K4489" s="12">
        <v>17000</v>
      </c>
      <c r="L4489" s="9"/>
      <c r="M4489" s="12">
        <v>0</v>
      </c>
      <c r="N4489" s="9"/>
      <c r="O4489" s="12">
        <v>0</v>
      </c>
      <c r="P4489" s="9"/>
      <c r="Q4489" s="12">
        <f>M4489+O4489</f>
        <v>0</v>
      </c>
      <c r="T4489" s="11"/>
    </row>
    <row r="4490" spans="1:20" ht="11.85" customHeight="1" x14ac:dyDescent="0.2">
      <c r="A4490" s="3" t="s">
        <v>331</v>
      </c>
      <c r="C4490" s="2">
        <f>SUM(C4488:C4489)</f>
        <v>8994.2800000000007</v>
      </c>
      <c r="E4490" s="2">
        <f>SUM(E4488:E4489)</f>
        <v>9075.6299999999992</v>
      </c>
      <c r="G4490" s="2">
        <f>SUM(G4488:G4489)</f>
        <v>124581.03</v>
      </c>
      <c r="I4490" s="2">
        <f>SUM(I4488:I4489)</f>
        <v>17000</v>
      </c>
      <c r="K4490" s="2">
        <f>SUM(K4488:K4489)</f>
        <v>17000</v>
      </c>
      <c r="L4490" s="9"/>
      <c r="M4490" s="2">
        <f>SUM(M4488:M4489)</f>
        <v>0</v>
      </c>
      <c r="N4490" s="9"/>
      <c r="O4490" s="2">
        <f>SUM(O4488:O4489)</f>
        <v>0</v>
      </c>
      <c r="P4490" s="9"/>
      <c r="Q4490" s="2">
        <f>SUM(Q4488:Q4489)</f>
        <v>0</v>
      </c>
      <c r="T4490" s="11"/>
    </row>
    <row r="4491" spans="1:20" ht="11.85" customHeight="1" x14ac:dyDescent="0.2">
      <c r="L4491" s="9"/>
      <c r="N4491" s="9"/>
      <c r="P4491" s="9"/>
      <c r="T4491" s="11"/>
    </row>
    <row r="4492" spans="1:20" ht="11.85" customHeight="1" x14ac:dyDescent="0.2">
      <c r="A4492" s="10" t="s">
        <v>1016</v>
      </c>
      <c r="L4492" s="9"/>
      <c r="N4492" s="9"/>
      <c r="P4492" s="9"/>
      <c r="T4492" s="11"/>
    </row>
    <row r="4493" spans="1:20" ht="11.85" customHeight="1" x14ac:dyDescent="0.2">
      <c r="A4493" s="3" t="s">
        <v>1807</v>
      </c>
      <c r="C4493" s="12">
        <v>633.33000000000004</v>
      </c>
      <c r="E4493" s="12">
        <v>6448.66</v>
      </c>
      <c r="G4493" s="12">
        <v>5676.98</v>
      </c>
      <c r="I4493" s="12">
        <v>10500</v>
      </c>
      <c r="K4493" s="12">
        <v>10500</v>
      </c>
      <c r="L4493" s="9"/>
      <c r="M4493" s="12">
        <v>10500</v>
      </c>
      <c r="N4493" s="9"/>
      <c r="O4493" s="12">
        <v>0</v>
      </c>
      <c r="P4493" s="9"/>
      <c r="Q4493" s="12">
        <f>M4493+O4493</f>
        <v>10500</v>
      </c>
      <c r="T4493" s="11"/>
    </row>
    <row r="4494" spans="1:20" ht="11.85" customHeight="1" x14ac:dyDescent="0.2">
      <c r="A4494" s="3" t="s">
        <v>1018</v>
      </c>
      <c r="C4494" s="2">
        <f>SUM(C4493:C4493)</f>
        <v>633.33000000000004</v>
      </c>
      <c r="E4494" s="2">
        <f>SUM(E4493:E4493)</f>
        <v>6448.66</v>
      </c>
      <c r="G4494" s="2">
        <f>SUM(G4493:G4493)</f>
        <v>5676.98</v>
      </c>
      <c r="I4494" s="2">
        <f>SUM(I4493:I4493)</f>
        <v>10500</v>
      </c>
      <c r="K4494" s="2">
        <f>SUM(K4493:K4493)</f>
        <v>10500</v>
      </c>
      <c r="L4494" s="9"/>
      <c r="M4494" s="2">
        <f>SUM(M4493:M4493)</f>
        <v>10500</v>
      </c>
      <c r="N4494" s="9"/>
      <c r="O4494" s="2">
        <f>SUM(O4493:O4493)</f>
        <v>0</v>
      </c>
      <c r="P4494" s="9"/>
      <c r="Q4494" s="2">
        <f>SUM(Q4493:Q4493)</f>
        <v>10500</v>
      </c>
      <c r="T4494" s="11"/>
    </row>
    <row r="4495" spans="1:20" ht="11.85" customHeight="1" x14ac:dyDescent="0.2">
      <c r="L4495" s="9"/>
      <c r="N4495" s="9"/>
      <c r="P4495" s="9"/>
    </row>
    <row r="4496" spans="1:20" ht="11.85" customHeight="1" x14ac:dyDescent="0.2">
      <c r="A4496" s="10" t="s">
        <v>332</v>
      </c>
      <c r="L4496" s="9"/>
      <c r="N4496" s="9"/>
      <c r="P4496" s="9"/>
    </row>
    <row r="4497" spans="1:22" ht="11.85" customHeight="1" x14ac:dyDescent="0.2">
      <c r="A4497" s="3" t="s">
        <v>1808</v>
      </c>
      <c r="C4497" s="2">
        <v>0</v>
      </c>
      <c r="E4497" s="2">
        <v>0</v>
      </c>
      <c r="G4497" s="2">
        <v>0</v>
      </c>
      <c r="I4497" s="2">
        <v>0</v>
      </c>
      <c r="K4497" s="2">
        <v>0</v>
      </c>
      <c r="L4497" s="9"/>
      <c r="M4497" s="2">
        <v>0</v>
      </c>
      <c r="N4497" s="9"/>
      <c r="O4497" s="2">
        <v>0</v>
      </c>
      <c r="P4497" s="9"/>
      <c r="Q4497" s="2">
        <f>M4497+O4497</f>
        <v>0</v>
      </c>
      <c r="T4497" s="11"/>
    </row>
    <row r="4498" spans="1:22" ht="11.85" customHeight="1" x14ac:dyDescent="0.2">
      <c r="A4498" s="3" t="s">
        <v>1809</v>
      </c>
      <c r="C4498" s="2">
        <v>0</v>
      </c>
      <c r="E4498" s="2">
        <v>0</v>
      </c>
      <c r="G4498" s="2">
        <v>0</v>
      </c>
      <c r="I4498" s="2">
        <v>0</v>
      </c>
      <c r="K4498" s="2">
        <v>0</v>
      </c>
      <c r="L4498" s="9"/>
      <c r="M4498" s="2">
        <v>0</v>
      </c>
      <c r="N4498" s="9"/>
      <c r="O4498" s="2">
        <v>0</v>
      </c>
      <c r="P4498" s="9"/>
      <c r="Q4498" s="2">
        <f>M4498+O4498</f>
        <v>0</v>
      </c>
    </row>
    <row r="4499" spans="1:22" ht="11.85" customHeight="1" x14ac:dyDescent="0.2">
      <c r="A4499" s="3" t="s">
        <v>1810</v>
      </c>
      <c r="C4499" s="12">
        <v>0</v>
      </c>
      <c r="E4499" s="12">
        <v>0</v>
      </c>
      <c r="G4499" s="12">
        <v>0</v>
      </c>
      <c r="I4499" s="12">
        <v>0</v>
      </c>
      <c r="K4499" s="12">
        <v>0</v>
      </c>
      <c r="L4499" s="9"/>
      <c r="M4499" s="12">
        <v>0</v>
      </c>
      <c r="N4499" s="9"/>
      <c r="O4499" s="12">
        <v>0</v>
      </c>
      <c r="P4499" s="9"/>
      <c r="Q4499" s="12">
        <f>M4499+O4499</f>
        <v>0</v>
      </c>
    </row>
    <row r="4500" spans="1:22" ht="11.85" customHeight="1" x14ac:dyDescent="0.2">
      <c r="A4500" s="3" t="s">
        <v>336</v>
      </c>
      <c r="C4500" s="2">
        <f>SUM(C4497:C4499)</f>
        <v>0</v>
      </c>
      <c r="E4500" s="2">
        <f>SUM(E4497:E4499)</f>
        <v>0</v>
      </c>
      <c r="G4500" s="2">
        <f>SUM(G4497:G4499)</f>
        <v>0</v>
      </c>
      <c r="I4500" s="2">
        <f>SUM(I4497:I4499)</f>
        <v>0</v>
      </c>
      <c r="K4500" s="2">
        <f>SUM(K4497:K4499)</f>
        <v>0</v>
      </c>
      <c r="L4500" s="9"/>
      <c r="M4500" s="2">
        <f>SUM(M4497:M4499)</f>
        <v>0</v>
      </c>
      <c r="N4500" s="9"/>
      <c r="O4500" s="2">
        <f>SUM(O4497:O4499)</f>
        <v>0</v>
      </c>
      <c r="P4500" s="9"/>
      <c r="Q4500" s="2">
        <f>SUM(Q4497:Q4499)</f>
        <v>0</v>
      </c>
    </row>
    <row r="4501" spans="1:22" ht="11.85" customHeight="1" x14ac:dyDescent="0.2">
      <c r="L4501" s="9"/>
      <c r="N4501" s="9"/>
      <c r="P4501" s="9"/>
    </row>
    <row r="4502" spans="1:22" ht="11.85" customHeight="1" x14ac:dyDescent="0.2">
      <c r="A4502" s="3" t="s">
        <v>1811</v>
      </c>
      <c r="C4502" s="2">
        <f>C4472+C4486+C4490+C4494+C4500</f>
        <v>212152.88999999996</v>
      </c>
      <c r="E4502" s="2">
        <f>E4472+E4486+E4490+E4494+E4500</f>
        <v>248325.74999999997</v>
      </c>
      <c r="G4502" s="2">
        <f>G4472+G4486+G4490+G4494+G4500</f>
        <v>376378.43999999994</v>
      </c>
      <c r="I4502" s="2">
        <f>I4472+I4486+I4490+I4494+I4500</f>
        <v>287200</v>
      </c>
      <c r="K4502" s="2">
        <f>K4472+K4486+K4490+K4494+K4500</f>
        <v>287200</v>
      </c>
      <c r="L4502" s="9"/>
      <c r="M4502" s="2">
        <f>M4472+M4486+M4490+M4494+M4500</f>
        <v>284300</v>
      </c>
      <c r="N4502" s="9"/>
      <c r="O4502" s="2">
        <f>O4472+O4486+O4490+O4494+O4500</f>
        <v>0</v>
      </c>
      <c r="P4502" s="9"/>
      <c r="Q4502" s="2">
        <f>Q4472+Q4486+Q4490+Q4494+Q4500</f>
        <v>284300</v>
      </c>
      <c r="R4502" s="9"/>
      <c r="T4502" s="11"/>
      <c r="U4502" s="9"/>
      <c r="V4502" s="9"/>
    </row>
    <row r="4503" spans="1:22" ht="11.85" customHeight="1" x14ac:dyDescent="0.2">
      <c r="L4503" s="9"/>
      <c r="N4503" s="9"/>
      <c r="P4503" s="9"/>
    </row>
    <row r="4504" spans="1:22" ht="11.85" customHeight="1" x14ac:dyDescent="0.2">
      <c r="L4504" s="9"/>
      <c r="N4504" s="9"/>
      <c r="P4504" s="9"/>
    </row>
    <row r="4505" spans="1:22" ht="11.85" customHeight="1" x14ac:dyDescent="0.2">
      <c r="L4505" s="9"/>
      <c r="N4505" s="9"/>
      <c r="P4505" s="9"/>
    </row>
    <row r="4506" spans="1:22" ht="11.85" customHeight="1" x14ac:dyDescent="0.2">
      <c r="L4506" s="9"/>
      <c r="N4506" s="9"/>
      <c r="P4506" s="9"/>
    </row>
    <row r="4507" spans="1:22" ht="11.85" customHeight="1" x14ac:dyDescent="0.2">
      <c r="L4507" s="9"/>
      <c r="N4507" s="9"/>
      <c r="P4507" s="9"/>
    </row>
    <row r="4508" spans="1:22" ht="11.85" customHeight="1" x14ac:dyDescent="0.2">
      <c r="L4508" s="9"/>
      <c r="N4508" s="9"/>
      <c r="P4508" s="9"/>
    </row>
    <row r="4509" spans="1:22" ht="11.85" customHeight="1" x14ac:dyDescent="0.2">
      <c r="L4509" s="9"/>
      <c r="N4509" s="9"/>
      <c r="P4509" s="9"/>
    </row>
    <row r="4510" spans="1:22" ht="11.85" customHeight="1" x14ac:dyDescent="0.2">
      <c r="L4510" s="9"/>
      <c r="N4510" s="9"/>
      <c r="P4510" s="9"/>
    </row>
    <row r="4511" spans="1:22" ht="11.85" customHeight="1" x14ac:dyDescent="0.2">
      <c r="L4511" s="9"/>
      <c r="N4511" s="9"/>
      <c r="P4511" s="9"/>
    </row>
    <row r="4512" spans="1:22" ht="11.85" customHeight="1" x14ac:dyDescent="0.2">
      <c r="L4512" s="9"/>
      <c r="N4512" s="9"/>
      <c r="P4512" s="9"/>
    </row>
    <row r="4513" spans="1:18" ht="11.85" customHeight="1" x14ac:dyDescent="0.2">
      <c r="L4513" s="9"/>
      <c r="N4513" s="9"/>
      <c r="P4513" s="9"/>
    </row>
    <row r="4514" spans="1:18" ht="11.85" customHeight="1" x14ac:dyDescent="0.2">
      <c r="L4514" s="9"/>
      <c r="N4514" s="9"/>
      <c r="P4514" s="9"/>
    </row>
    <row r="4515" spans="1:18" ht="11.85" customHeight="1" x14ac:dyDescent="0.2">
      <c r="L4515" s="9"/>
      <c r="N4515" s="9"/>
      <c r="P4515" s="9"/>
    </row>
    <row r="4516" spans="1:18" ht="11.85" customHeight="1" x14ac:dyDescent="0.2">
      <c r="L4516" s="9"/>
      <c r="N4516" s="9"/>
      <c r="P4516" s="9"/>
    </row>
    <row r="4517" spans="1:18" ht="11.85" customHeight="1" x14ac:dyDescent="0.2">
      <c r="L4517" s="9"/>
      <c r="N4517" s="9"/>
      <c r="P4517" s="9"/>
    </row>
    <row r="4518" spans="1:18" ht="11.85" customHeight="1" x14ac:dyDescent="0.2">
      <c r="A4518" s="1"/>
      <c r="B4518" s="1"/>
      <c r="E4518" s="2" t="str">
        <f>$E$1</f>
        <v>CITY OF BRADY</v>
      </c>
    </row>
    <row r="4519" spans="1:18" ht="11.85" customHeight="1" x14ac:dyDescent="0.2">
      <c r="E4519" s="2" t="str">
        <f>$E$2</f>
        <v>BUDGET REPORT</v>
      </c>
    </row>
    <row r="4520" spans="1:18" ht="11.85" customHeight="1" x14ac:dyDescent="0.2">
      <c r="E4520" s="2" t="str">
        <f>$E$3</f>
        <v>FISCAL YEAR 2024 - 2025</v>
      </c>
    </row>
    <row r="4521" spans="1:18" ht="11.85" customHeight="1" x14ac:dyDescent="0.2">
      <c r="A4521" s="3" t="s">
        <v>1688</v>
      </c>
    </row>
    <row r="4522" spans="1:18" ht="11.85" customHeight="1" x14ac:dyDescent="0.2"/>
    <row r="4523" spans="1:18" ht="11.85" customHeight="1" x14ac:dyDescent="0.2">
      <c r="I4523" s="53" t="str">
        <f>$I$6</f>
        <v>(----- 2023-2024------)</v>
      </c>
      <c r="J4523" s="53"/>
      <c r="K4523" s="53"/>
      <c r="L4523" s="6"/>
      <c r="M4523" s="54" t="str">
        <f>$M$6</f>
        <v>2024-2025</v>
      </c>
      <c r="N4523" s="54"/>
      <c r="O4523" s="54"/>
      <c r="P4523" s="54"/>
      <c r="Q4523" s="54"/>
    </row>
    <row r="4524" spans="1:18" ht="11.85" customHeight="1" x14ac:dyDescent="0.2">
      <c r="C4524" s="5" t="str">
        <f>$C$7</f>
        <v>2020-2021</v>
      </c>
      <c r="D4524" s="5"/>
      <c r="E4524" s="5" t="str">
        <f>$E$7</f>
        <v>2021-2022</v>
      </c>
      <c r="F4524" s="5"/>
      <c r="G4524" s="5" t="str">
        <f>$G$7</f>
        <v>2022-2023</v>
      </c>
      <c r="H4524" s="5"/>
      <c r="I4524" s="5" t="s">
        <v>9</v>
      </c>
      <c r="J4524" s="5"/>
      <c r="K4524" s="5" t="str">
        <f>+$K$7</f>
        <v>PROJECTED</v>
      </c>
      <c r="L4524" s="6"/>
      <c r="M4524" s="5">
        <f>$M$7</f>
        <v>0</v>
      </c>
      <c r="N4524" s="6"/>
      <c r="O4524" s="5" t="str">
        <f>$O$7</f>
        <v>2024-2025</v>
      </c>
      <c r="P4524" s="6"/>
      <c r="Q4524" s="5" t="str">
        <f>$Q$7</f>
        <v>APPROVED</v>
      </c>
    </row>
    <row r="4525" spans="1:18" ht="11.85" customHeight="1" x14ac:dyDescent="0.2">
      <c r="A4525" s="7" t="s">
        <v>273</v>
      </c>
      <c r="C4525" s="8" t="s">
        <v>12</v>
      </c>
      <c r="D4525" s="5"/>
      <c r="E4525" s="8" t="s">
        <v>12</v>
      </c>
      <c r="F4525" s="5"/>
      <c r="G4525" s="8" t="s">
        <v>12</v>
      </c>
      <c r="H4525" s="5"/>
      <c r="I4525" s="8" t="s">
        <v>13</v>
      </c>
      <c r="J4525" s="5"/>
      <c r="K4525" s="8" t="s">
        <v>13</v>
      </c>
      <c r="L4525" s="6"/>
      <c r="M4525" s="8" t="str">
        <f>$M$8</f>
        <v>BASE</v>
      </c>
      <c r="N4525" s="6"/>
      <c r="O4525" s="8" t="str">
        <f>$O$8</f>
        <v>SUPPLEMENTAL</v>
      </c>
      <c r="P4525" s="6"/>
      <c r="Q4525" s="8" t="str">
        <f>$Q$8</f>
        <v>BUDGET</v>
      </c>
    </row>
    <row r="4526" spans="1:18" ht="11.85" customHeight="1" x14ac:dyDescent="0.2"/>
    <row r="4527" spans="1:18" ht="11.85" customHeight="1" thickBot="1" x14ac:dyDescent="0.25">
      <c r="A4527" s="3" t="s">
        <v>1123</v>
      </c>
      <c r="C4527" s="25">
        <f>C4378+C4435+C4502</f>
        <v>576281.47</v>
      </c>
      <c r="E4527" s="25">
        <f>E4378+E4435+E4502</f>
        <v>625797.52</v>
      </c>
      <c r="G4527" s="25">
        <f>G4378+G4435+G4502</f>
        <v>743124.79</v>
      </c>
      <c r="I4527" s="25">
        <f>I4378+I4435+I4502</f>
        <v>673480</v>
      </c>
      <c r="K4527" s="25">
        <f>K4378+K4435+K4502</f>
        <v>673480</v>
      </c>
      <c r="L4527" s="9"/>
      <c r="M4527" s="25">
        <f>M4378+M4435+M4502</f>
        <v>701396</v>
      </c>
      <c r="N4527" s="9"/>
      <c r="O4527" s="25">
        <f>O4378+O4435+O4502</f>
        <v>9800</v>
      </c>
      <c r="P4527" s="9"/>
      <c r="Q4527" s="25">
        <f>Q4378+Q4435+Q4502</f>
        <v>711196</v>
      </c>
      <c r="R4527" s="9"/>
    </row>
    <row r="4528" spans="1:18" ht="11.85" customHeight="1" thickTop="1" x14ac:dyDescent="0.2">
      <c r="L4528" s="9"/>
      <c r="N4528" s="9"/>
      <c r="P4528" s="9"/>
    </row>
    <row r="4529" spans="1:21" ht="11.85" customHeight="1" thickBot="1" x14ac:dyDescent="0.25">
      <c r="A4529" s="3" t="s">
        <v>1124</v>
      </c>
      <c r="C4529" s="36">
        <f>C4304-C4527</f>
        <v>15683.459999999963</v>
      </c>
      <c r="D4529" s="9"/>
      <c r="E4529" s="36">
        <f>E4304-E4527</f>
        <v>17274.75</v>
      </c>
      <c r="F4529" s="9"/>
      <c r="G4529" s="36">
        <f>G4304-G4527</f>
        <v>-41142.160000000149</v>
      </c>
      <c r="H4529" s="9"/>
      <c r="I4529" s="36">
        <f>I4304-I4527</f>
        <v>10420</v>
      </c>
      <c r="J4529" s="9"/>
      <c r="K4529" s="36">
        <f>K4304-K4527</f>
        <v>32420</v>
      </c>
      <c r="L4529" s="9"/>
      <c r="M4529" s="36">
        <f>M4304-M4527</f>
        <v>-77496</v>
      </c>
      <c r="N4529" s="9"/>
      <c r="O4529" s="36">
        <f>O4304-O4527</f>
        <v>200</v>
      </c>
      <c r="P4529" s="9"/>
      <c r="Q4529" s="36">
        <f>Q4304-Q4527</f>
        <v>-77296</v>
      </c>
    </row>
    <row r="4530" spans="1:21" ht="11.85" customHeight="1" thickTop="1" x14ac:dyDescent="0.2">
      <c r="L4530" s="9"/>
      <c r="N4530" s="9"/>
      <c r="P4530" s="9"/>
    </row>
    <row r="4531" spans="1:21" ht="11.85" customHeight="1" x14ac:dyDescent="0.2">
      <c r="L4531" s="9"/>
      <c r="N4531" s="9"/>
      <c r="P4531" s="9"/>
    </row>
    <row r="4532" spans="1:21" ht="11.85" customHeight="1" x14ac:dyDescent="0.2">
      <c r="A4532" s="3" t="s">
        <v>1125</v>
      </c>
      <c r="L4532" s="9"/>
      <c r="N4532" s="9"/>
      <c r="P4532" s="9"/>
    </row>
    <row r="4533" spans="1:21" ht="11.85" customHeight="1" thickBot="1" x14ac:dyDescent="0.25">
      <c r="A4533" s="3" t="s">
        <v>17</v>
      </c>
      <c r="C4533" s="25">
        <f>C4265+C4304-C4527</f>
        <v>242766.38</v>
      </c>
      <c r="E4533" s="25">
        <f>E4265+E4304-E4527</f>
        <v>260041.13</v>
      </c>
      <c r="G4533" s="25">
        <f>G4265+G4304-G4527</f>
        <v>218898.96999999986</v>
      </c>
      <c r="I4533" s="25">
        <f>I4265+I4304-I4527</f>
        <v>229318.96999999986</v>
      </c>
      <c r="K4533" s="25">
        <f>K4265+K4304-K4527</f>
        <v>251318.96999999986</v>
      </c>
      <c r="L4533" s="9"/>
      <c r="M4533" s="36">
        <f>M4265+M4304-M4527</f>
        <v>173822.96999999986</v>
      </c>
      <c r="N4533" s="9"/>
      <c r="P4533" s="9"/>
      <c r="Q4533" s="36">
        <f>Q4265+Q4304-Q4527</f>
        <v>174022.96999999986</v>
      </c>
      <c r="U4533" s="9"/>
    </row>
    <row r="4534" spans="1:21" ht="11.85" customHeight="1" thickTop="1" x14ac:dyDescent="0.2"/>
    <row r="4535" spans="1:21" ht="11.85" customHeight="1" x14ac:dyDescent="0.2"/>
    <row r="4536" spans="1:21" ht="11.85" customHeight="1" x14ac:dyDescent="0.2"/>
    <row r="4537" spans="1:21" ht="11.85" customHeight="1" x14ac:dyDescent="0.2"/>
    <row r="4538" spans="1:21" ht="11.85" customHeight="1" x14ac:dyDescent="0.2"/>
    <row r="4539" spans="1:21" ht="11.85" customHeight="1" x14ac:dyDescent="0.2"/>
    <row r="4540" spans="1:21" ht="11.85" customHeight="1" x14ac:dyDescent="0.2"/>
    <row r="4541" spans="1:21" ht="11.85" customHeight="1" x14ac:dyDescent="0.2"/>
    <row r="4542" spans="1:21" ht="11.85" customHeight="1" x14ac:dyDescent="0.2"/>
    <row r="4543" spans="1:21" ht="11.85" customHeight="1" x14ac:dyDescent="0.2"/>
    <row r="4544" spans="1:21" ht="11.85" customHeight="1" x14ac:dyDescent="0.2"/>
    <row r="4545" ht="11.85" customHeight="1" x14ac:dyDescent="0.2"/>
    <row r="4546" ht="11.85" customHeight="1" x14ac:dyDescent="0.2"/>
    <row r="4547" ht="11.85" customHeight="1" x14ac:dyDescent="0.2"/>
    <row r="4548" ht="11.85" customHeight="1" x14ac:dyDescent="0.2"/>
    <row r="4549" ht="11.85" customHeight="1" x14ac:dyDescent="0.2"/>
    <row r="4550" ht="11.85" customHeight="1" x14ac:dyDescent="0.2"/>
    <row r="4551" ht="11.85" customHeight="1" x14ac:dyDescent="0.2"/>
    <row r="4552" ht="11.85" customHeight="1" x14ac:dyDescent="0.2"/>
    <row r="4553" ht="11.85" customHeight="1" x14ac:dyDescent="0.2"/>
    <row r="4554" ht="11.85" customHeight="1" x14ac:dyDescent="0.2"/>
    <row r="4555" ht="11.85" customHeight="1" x14ac:dyDescent="0.2"/>
    <row r="4556" ht="11.85" customHeight="1" x14ac:dyDescent="0.2"/>
    <row r="4557" ht="11.85" customHeight="1" x14ac:dyDescent="0.2"/>
    <row r="4558" ht="11.85" customHeight="1" x14ac:dyDescent="0.2"/>
    <row r="4559" ht="11.85" customHeight="1" x14ac:dyDescent="0.2"/>
    <row r="4560" ht="11.85" customHeight="1" x14ac:dyDescent="0.2"/>
    <row r="4561" ht="11.85" customHeight="1" x14ac:dyDescent="0.2"/>
    <row r="4562" ht="11.85" customHeight="1" x14ac:dyDescent="0.2"/>
    <row r="4563" ht="11.85" customHeight="1" x14ac:dyDescent="0.2"/>
    <row r="4564" ht="11.85" customHeight="1" x14ac:dyDescent="0.2"/>
    <row r="4565" ht="11.85" customHeight="1" x14ac:dyDescent="0.2"/>
    <row r="4566" ht="11.85" customHeight="1" x14ac:dyDescent="0.2"/>
    <row r="4567" ht="11.85" customHeight="1" x14ac:dyDescent="0.2"/>
    <row r="4568" ht="11.85" customHeight="1" x14ac:dyDescent="0.2"/>
    <row r="4569" ht="11.85" customHeight="1" x14ac:dyDescent="0.2"/>
    <row r="4570" ht="11.85" customHeight="1" x14ac:dyDescent="0.2"/>
    <row r="4571" ht="11.85" customHeight="1" x14ac:dyDescent="0.2"/>
    <row r="4572" ht="11.85" customHeight="1" x14ac:dyDescent="0.2"/>
    <row r="4573" ht="11.85" customHeight="1" x14ac:dyDescent="0.2"/>
    <row r="4574" ht="11.85" customHeight="1" x14ac:dyDescent="0.2"/>
    <row r="4575" ht="11.85" customHeight="1" x14ac:dyDescent="0.2"/>
    <row r="4576" ht="11.85" customHeight="1" x14ac:dyDescent="0.2"/>
    <row r="4577" spans="1:19" ht="11.85" customHeight="1" x14ac:dyDescent="0.2"/>
    <row r="4578" spans="1:19" ht="11.85" customHeight="1" x14ac:dyDescent="0.2"/>
    <row r="4579" spans="1:19" ht="11.85" customHeight="1" x14ac:dyDescent="0.2"/>
    <row r="4580" spans="1:19" ht="11.85" customHeight="1" x14ac:dyDescent="0.2"/>
    <row r="4581" spans="1:19" ht="11.85" customHeight="1" x14ac:dyDescent="0.2">
      <c r="A4581" s="1"/>
      <c r="B4581" s="1"/>
      <c r="E4581" s="2" t="str">
        <f>$E$1</f>
        <v>CITY OF BRADY</v>
      </c>
    </row>
    <row r="4582" spans="1:19" ht="11.85" customHeight="1" x14ac:dyDescent="0.2">
      <c r="E4582" s="2" t="str">
        <f>$E$2</f>
        <v>BUDGET REPORT</v>
      </c>
    </row>
    <row r="4583" spans="1:19" ht="11.85" customHeight="1" x14ac:dyDescent="0.2">
      <c r="E4583" s="2" t="str">
        <f>$E$3</f>
        <v>FISCAL YEAR 2024 - 2025</v>
      </c>
    </row>
    <row r="4584" spans="1:19" ht="11.85" customHeight="1" x14ac:dyDescent="0.2">
      <c r="A4584" s="3" t="s">
        <v>1812</v>
      </c>
    </row>
    <row r="4585" spans="1:19" ht="11.85" customHeight="1" x14ac:dyDescent="0.2"/>
    <row r="4586" spans="1:19" ht="11.85" customHeight="1" x14ac:dyDescent="0.2">
      <c r="I4586" s="53" t="str">
        <f>$I$6</f>
        <v>(----- 2023-2024------)</v>
      </c>
      <c r="J4586" s="53"/>
      <c r="K4586" s="53"/>
      <c r="L4586" s="6"/>
      <c r="M4586" s="54" t="str">
        <f>$M$6</f>
        <v>2024-2025</v>
      </c>
      <c r="N4586" s="54"/>
      <c r="O4586" s="54"/>
      <c r="P4586" s="54"/>
      <c r="Q4586" s="54"/>
    </row>
    <row r="4587" spans="1:19" ht="11.85" customHeight="1" x14ac:dyDescent="0.2">
      <c r="C4587" s="5" t="str">
        <f>$C$7</f>
        <v>2020-2021</v>
      </c>
      <c r="D4587" s="5"/>
      <c r="E4587" s="5" t="str">
        <f>$E$7</f>
        <v>2021-2022</v>
      </c>
      <c r="F4587" s="5"/>
      <c r="G4587" s="5" t="str">
        <f>$G$7</f>
        <v>2022-2023</v>
      </c>
      <c r="H4587" s="5"/>
      <c r="I4587" s="5" t="s">
        <v>9</v>
      </c>
      <c r="J4587" s="5"/>
      <c r="K4587" s="5" t="str">
        <f>+$K$7</f>
        <v>PROJECTED</v>
      </c>
      <c r="L4587" s="6"/>
      <c r="M4587" s="5">
        <f>$M$7</f>
        <v>0</v>
      </c>
      <c r="N4587" s="6"/>
      <c r="O4587" s="5" t="str">
        <f>$O$7</f>
        <v>2024-2025</v>
      </c>
      <c r="P4587" s="6"/>
      <c r="Q4587" s="5" t="str">
        <f>$Q$7</f>
        <v>APPROVED</v>
      </c>
    </row>
    <row r="4588" spans="1:19" ht="11.85" customHeight="1" x14ac:dyDescent="0.2">
      <c r="A4588" s="7"/>
      <c r="C4588" s="8" t="s">
        <v>12</v>
      </c>
      <c r="D4588" s="5"/>
      <c r="E4588" s="8" t="s">
        <v>12</v>
      </c>
      <c r="F4588" s="5"/>
      <c r="G4588" s="8" t="s">
        <v>12</v>
      </c>
      <c r="H4588" s="5"/>
      <c r="I4588" s="8" t="s">
        <v>13</v>
      </c>
      <c r="J4588" s="5"/>
      <c r="K4588" s="8" t="s">
        <v>13</v>
      </c>
      <c r="L4588" s="6"/>
      <c r="M4588" s="8" t="str">
        <f>$M$8</f>
        <v>BASE</v>
      </c>
      <c r="N4588" s="6"/>
      <c r="O4588" s="8" t="str">
        <f>$O$8</f>
        <v>SUPPLEMENTAL</v>
      </c>
      <c r="P4588" s="6"/>
      <c r="Q4588" s="8" t="str">
        <f>$Q$8</f>
        <v>BUDGET</v>
      </c>
    </row>
    <row r="4589" spans="1:19" ht="11.85" customHeight="1" x14ac:dyDescent="0.2"/>
    <row r="4590" spans="1:19" ht="11.85" customHeight="1" x14ac:dyDescent="0.2">
      <c r="A4590" s="3" t="s">
        <v>16</v>
      </c>
    </row>
    <row r="4591" spans="1:19" ht="11.85" customHeight="1" x14ac:dyDescent="0.2">
      <c r="A4591" s="3" t="s">
        <v>17</v>
      </c>
      <c r="C4591" s="2">
        <v>677571.52</v>
      </c>
      <c r="E4591" s="2">
        <f>+C4860</f>
        <v>584466.76000000024</v>
      </c>
      <c r="G4591" s="2">
        <f>+E4860</f>
        <v>870220.76000000024</v>
      </c>
      <c r="I4591" s="2">
        <f>+G4860</f>
        <v>1024539.5000000002</v>
      </c>
      <c r="K4591" s="2">
        <f>+I4591</f>
        <v>1024539.5000000002</v>
      </c>
      <c r="L4591" s="9"/>
      <c r="M4591" s="2">
        <f>+K4860</f>
        <v>755105.5</v>
      </c>
      <c r="N4591" s="9"/>
      <c r="P4591" s="9"/>
      <c r="Q4591" s="2">
        <f>M4591</f>
        <v>755105.5</v>
      </c>
      <c r="S4591" s="18"/>
    </row>
    <row r="4592" spans="1:19" ht="11.85" customHeight="1" x14ac:dyDescent="0.2">
      <c r="L4592" s="9"/>
      <c r="N4592" s="9"/>
      <c r="P4592" s="9"/>
    </row>
    <row r="4593" spans="1:20" ht="11.85" customHeight="1" x14ac:dyDescent="0.2">
      <c r="A4593" s="10" t="s">
        <v>18</v>
      </c>
      <c r="L4593" s="9"/>
      <c r="N4593" s="9"/>
      <c r="P4593" s="9"/>
    </row>
    <row r="4594" spans="1:20" ht="11.85" customHeight="1" x14ac:dyDescent="0.2">
      <c r="L4594" s="9"/>
      <c r="N4594" s="9"/>
      <c r="P4594" s="9"/>
    </row>
    <row r="4595" spans="1:20" ht="11.85" customHeight="1" x14ac:dyDescent="0.2">
      <c r="A4595" s="10" t="s">
        <v>1609</v>
      </c>
      <c r="L4595" s="9"/>
      <c r="N4595" s="9"/>
      <c r="P4595" s="9"/>
    </row>
    <row r="4596" spans="1:20" ht="11.85" customHeight="1" x14ac:dyDescent="0.2">
      <c r="A4596" s="3" t="s">
        <v>1813</v>
      </c>
      <c r="C4596" s="2">
        <v>573407.51</v>
      </c>
      <c r="E4596" s="2">
        <v>580689.07999999996</v>
      </c>
      <c r="G4596" s="2">
        <v>624884.75</v>
      </c>
      <c r="I4596" s="2">
        <v>615000</v>
      </c>
      <c r="K4596" s="2">
        <v>615000</v>
      </c>
      <c r="L4596" s="9"/>
      <c r="M4596" s="2">
        <v>620000</v>
      </c>
      <c r="N4596" s="9"/>
      <c r="O4596" s="2">
        <v>0</v>
      </c>
      <c r="P4596" s="9"/>
      <c r="Q4596" s="2">
        <f t="shared" ref="Q4596:Q4602" si="127">M4596+O4596</f>
        <v>620000</v>
      </c>
      <c r="T4596" s="11"/>
    </row>
    <row r="4597" spans="1:20" ht="11.85" customHeight="1" x14ac:dyDescent="0.2">
      <c r="A4597" s="3" t="s">
        <v>1814</v>
      </c>
      <c r="C4597" s="2">
        <v>21687.15</v>
      </c>
      <c r="E4597" s="2">
        <v>22891.1</v>
      </c>
      <c r="G4597" s="2">
        <v>25368.95</v>
      </c>
      <c r="I4597" s="2">
        <v>23000</v>
      </c>
      <c r="K4597" s="2">
        <v>23000</v>
      </c>
      <c r="L4597" s="9"/>
      <c r="M4597" s="2">
        <v>23000</v>
      </c>
      <c r="N4597" s="9"/>
      <c r="O4597" s="2">
        <v>0</v>
      </c>
      <c r="P4597" s="9"/>
      <c r="Q4597" s="2">
        <f t="shared" si="127"/>
        <v>23000</v>
      </c>
    </row>
    <row r="4598" spans="1:20" ht="11.85" customHeight="1" x14ac:dyDescent="0.2">
      <c r="A4598" s="3" t="s">
        <v>1815</v>
      </c>
      <c r="C4598" s="2">
        <v>506893.44</v>
      </c>
      <c r="E4598" s="2">
        <v>509337.04</v>
      </c>
      <c r="G4598" s="2">
        <v>523605.7</v>
      </c>
      <c r="I4598" s="2">
        <v>520000</v>
      </c>
      <c r="K4598" s="2">
        <v>520000</v>
      </c>
      <c r="L4598" s="9"/>
      <c r="M4598" s="2">
        <v>520000</v>
      </c>
      <c r="N4598" s="9"/>
      <c r="O4598" s="2">
        <v>0</v>
      </c>
      <c r="P4598" s="9"/>
      <c r="Q4598" s="2">
        <f t="shared" si="127"/>
        <v>520000</v>
      </c>
    </row>
    <row r="4599" spans="1:20" ht="11.85" customHeight="1" x14ac:dyDescent="0.2">
      <c r="A4599" s="3" t="s">
        <v>1816</v>
      </c>
      <c r="C4599" s="2">
        <v>46101</v>
      </c>
      <c r="E4599" s="2">
        <v>45006</v>
      </c>
      <c r="G4599" s="2">
        <v>47676</v>
      </c>
      <c r="I4599" s="2">
        <v>45000</v>
      </c>
      <c r="K4599" s="2">
        <v>45000</v>
      </c>
      <c r="L4599" s="9"/>
      <c r="M4599" s="2">
        <v>45000</v>
      </c>
      <c r="N4599" s="9"/>
      <c r="O4599" s="2">
        <v>0</v>
      </c>
      <c r="P4599" s="9"/>
      <c r="Q4599" s="2">
        <f t="shared" si="127"/>
        <v>45000</v>
      </c>
    </row>
    <row r="4600" spans="1:20" ht="11.85" customHeight="1" x14ac:dyDescent="0.2">
      <c r="A4600" s="3" t="s">
        <v>1817</v>
      </c>
      <c r="C4600" s="2">
        <v>148270.34</v>
      </c>
      <c r="E4600" s="2">
        <v>185623.67999999999</v>
      </c>
      <c r="G4600" s="2">
        <v>200007.02</v>
      </c>
      <c r="I4600" s="2">
        <v>150000</v>
      </c>
      <c r="K4600" s="2">
        <v>150000</v>
      </c>
      <c r="L4600" s="9"/>
      <c r="M4600" s="2">
        <v>180000</v>
      </c>
      <c r="N4600" s="9"/>
      <c r="O4600" s="2">
        <v>0</v>
      </c>
      <c r="P4600" s="9"/>
      <c r="Q4600" s="2">
        <f t="shared" si="127"/>
        <v>180000</v>
      </c>
    </row>
    <row r="4601" spans="1:20" ht="11.85" customHeight="1" x14ac:dyDescent="0.2">
      <c r="A4601" s="3" t="s">
        <v>1818</v>
      </c>
      <c r="C4601" s="12">
        <v>0</v>
      </c>
      <c r="E4601" s="12">
        <v>0</v>
      </c>
      <c r="G4601" s="12">
        <v>0</v>
      </c>
      <c r="I4601" s="12">
        <v>0</v>
      </c>
      <c r="K4601" s="12">
        <v>0</v>
      </c>
      <c r="L4601" s="9"/>
      <c r="M4601" s="12">
        <v>0</v>
      </c>
      <c r="N4601" s="9"/>
      <c r="O4601" s="12">
        <v>0</v>
      </c>
      <c r="P4601" s="9"/>
      <c r="Q4601" s="27">
        <f t="shared" si="127"/>
        <v>0</v>
      </c>
    </row>
    <row r="4602" spans="1:20" ht="11.85" hidden="1" customHeight="1" x14ac:dyDescent="0.2">
      <c r="A4602" s="3" t="s">
        <v>1819</v>
      </c>
      <c r="C4602" s="12">
        <v>0</v>
      </c>
      <c r="E4602" s="12">
        <v>0</v>
      </c>
      <c r="G4602" s="12">
        <v>0</v>
      </c>
      <c r="I4602" s="12">
        <v>0</v>
      </c>
      <c r="K4602" s="12">
        <v>0</v>
      </c>
      <c r="L4602" s="9"/>
      <c r="M4602" s="12">
        <v>0</v>
      </c>
      <c r="N4602" s="9"/>
      <c r="O4602" s="12">
        <v>0</v>
      </c>
      <c r="P4602" s="9"/>
      <c r="Q4602" s="12">
        <f t="shared" si="127"/>
        <v>0</v>
      </c>
    </row>
    <row r="4603" spans="1:20" ht="11.85" customHeight="1" x14ac:dyDescent="0.2">
      <c r="A4603" s="3" t="s">
        <v>1326</v>
      </c>
      <c r="C4603" s="2">
        <f>SUM(C4596:C4602)</f>
        <v>1296359.4400000002</v>
      </c>
      <c r="E4603" s="2">
        <f>SUM(E4596:E4602)</f>
        <v>1343546.9</v>
      </c>
      <c r="G4603" s="2">
        <f>SUM(G4596:G4602)</f>
        <v>1421542.42</v>
      </c>
      <c r="I4603" s="2">
        <f>SUM(I4596:I4602)</f>
        <v>1353000</v>
      </c>
      <c r="K4603" s="2">
        <f>SUM(K4596:K4602)</f>
        <v>1353000</v>
      </c>
      <c r="L4603" s="9"/>
      <c r="M4603" s="2">
        <f>SUM(M4596:M4602)</f>
        <v>1388000</v>
      </c>
      <c r="N4603" s="9"/>
      <c r="O4603" s="9">
        <f>SUM(O4596:O4602)</f>
        <v>0</v>
      </c>
      <c r="P4603" s="9"/>
      <c r="Q4603" s="2">
        <f>SUM(Q4596:Q4602)</f>
        <v>1388000</v>
      </c>
      <c r="R4603" s="9"/>
    </row>
    <row r="4604" spans="1:20" ht="11.85" customHeight="1" x14ac:dyDescent="0.2">
      <c r="L4604" s="9"/>
      <c r="N4604" s="9"/>
      <c r="P4604" s="9"/>
    </row>
    <row r="4605" spans="1:20" ht="11.85" customHeight="1" x14ac:dyDescent="0.2">
      <c r="A4605" s="10" t="s">
        <v>1617</v>
      </c>
      <c r="L4605" s="9"/>
      <c r="N4605" s="9"/>
      <c r="P4605" s="9"/>
    </row>
    <row r="4606" spans="1:20" ht="11.85" customHeight="1" x14ac:dyDescent="0.2">
      <c r="A4606" s="3" t="s">
        <v>1820</v>
      </c>
      <c r="C4606" s="2">
        <v>395.41</v>
      </c>
      <c r="E4606" s="2">
        <v>0</v>
      </c>
      <c r="G4606" s="2">
        <v>0.04</v>
      </c>
      <c r="I4606" s="2">
        <v>0</v>
      </c>
      <c r="K4606" s="2">
        <v>0</v>
      </c>
      <c r="L4606" s="9"/>
      <c r="M4606" s="2">
        <v>0</v>
      </c>
      <c r="N4606" s="9"/>
      <c r="O4606" s="2">
        <v>0</v>
      </c>
      <c r="P4606" s="9"/>
      <c r="Q4606" s="2">
        <f t="shared" ref="Q4606:Q4612" si="128">M4606+O4606</f>
        <v>0</v>
      </c>
    </row>
    <row r="4607" spans="1:20" ht="11.85" customHeight="1" x14ac:dyDescent="0.2">
      <c r="A4607" s="3" t="s">
        <v>1821</v>
      </c>
      <c r="C4607" s="2">
        <v>0</v>
      </c>
      <c r="E4607" s="2">
        <v>0</v>
      </c>
      <c r="G4607" s="2">
        <v>0</v>
      </c>
      <c r="I4607" s="2">
        <v>18000</v>
      </c>
      <c r="K4607" s="2">
        <v>18000</v>
      </c>
      <c r="L4607" s="9"/>
      <c r="M4607" s="2">
        <v>18000</v>
      </c>
      <c r="N4607" s="9"/>
      <c r="O4607" s="2">
        <v>0</v>
      </c>
      <c r="P4607" s="9"/>
      <c r="Q4607" s="2">
        <f t="shared" si="128"/>
        <v>18000</v>
      </c>
    </row>
    <row r="4608" spans="1:20" ht="11.85" customHeight="1" x14ac:dyDescent="0.2">
      <c r="A4608" s="3" t="s">
        <v>1822</v>
      </c>
      <c r="C4608" s="2">
        <v>18.91</v>
      </c>
      <c r="E4608" s="2">
        <v>0</v>
      </c>
      <c r="G4608" s="2">
        <v>1773.69</v>
      </c>
      <c r="I4608" s="2">
        <v>0</v>
      </c>
      <c r="K4608" s="2">
        <v>0</v>
      </c>
      <c r="L4608" s="9"/>
      <c r="M4608" s="2">
        <v>0</v>
      </c>
      <c r="N4608" s="9"/>
      <c r="O4608" s="2">
        <v>0</v>
      </c>
      <c r="P4608" s="9"/>
      <c r="Q4608" s="2">
        <f t="shared" si="128"/>
        <v>0</v>
      </c>
    </row>
    <row r="4609" spans="1:32" ht="11.85" customHeight="1" x14ac:dyDescent="0.2">
      <c r="A4609" s="3" t="s">
        <v>1823</v>
      </c>
      <c r="C4609" s="2">
        <v>0</v>
      </c>
      <c r="E4609" s="2">
        <v>0</v>
      </c>
      <c r="G4609" s="2">
        <v>0</v>
      </c>
      <c r="I4609" s="2">
        <v>0</v>
      </c>
      <c r="K4609" s="2">
        <v>0</v>
      </c>
      <c r="L4609" s="9"/>
      <c r="M4609" s="2">
        <v>0</v>
      </c>
      <c r="N4609" s="9"/>
      <c r="O4609" s="2">
        <v>0</v>
      </c>
      <c r="P4609" s="9"/>
      <c r="Q4609" s="2">
        <f t="shared" si="128"/>
        <v>0</v>
      </c>
    </row>
    <row r="4610" spans="1:32" ht="11.85" customHeight="1" x14ac:dyDescent="0.2">
      <c r="A4610" s="3" t="s">
        <v>1824</v>
      </c>
      <c r="C4610" s="2">
        <v>0</v>
      </c>
      <c r="E4610" s="2">
        <v>1943.86</v>
      </c>
      <c r="G4610" s="2">
        <v>101</v>
      </c>
      <c r="I4610" s="2">
        <v>0</v>
      </c>
      <c r="K4610" s="2">
        <v>0</v>
      </c>
      <c r="L4610" s="9"/>
      <c r="M4610" s="2">
        <v>0</v>
      </c>
      <c r="N4610" s="9"/>
      <c r="O4610" s="2">
        <v>0</v>
      </c>
      <c r="P4610" s="9"/>
      <c r="Q4610" s="2">
        <f t="shared" si="128"/>
        <v>0</v>
      </c>
    </row>
    <row r="4611" spans="1:32" ht="11.85" customHeight="1" x14ac:dyDescent="0.2">
      <c r="A4611" s="3" t="s">
        <v>1825</v>
      </c>
      <c r="C4611" s="2">
        <v>10905.4</v>
      </c>
      <c r="E4611" s="2">
        <v>14285.31</v>
      </c>
      <c r="G4611" s="2">
        <v>89494.35</v>
      </c>
      <c r="I4611" s="2">
        <v>50000</v>
      </c>
      <c r="K4611" s="2">
        <f>50000+42000</f>
        <v>92000</v>
      </c>
      <c r="L4611" s="9"/>
      <c r="M4611" s="2">
        <v>80000</v>
      </c>
      <c r="N4611" s="9"/>
      <c r="O4611" s="2">
        <v>0</v>
      </c>
      <c r="P4611" s="9"/>
      <c r="Q4611" s="2">
        <f>M4611+O4611</f>
        <v>80000</v>
      </c>
    </row>
    <row r="4612" spans="1:32" ht="11.85" customHeight="1" x14ac:dyDescent="0.2">
      <c r="A4612" s="3" t="s">
        <v>1826</v>
      </c>
      <c r="C4612" s="12">
        <v>0</v>
      </c>
      <c r="E4612" s="12">
        <v>0</v>
      </c>
      <c r="G4612" s="12">
        <v>0</v>
      </c>
      <c r="I4612" s="12">
        <v>0</v>
      </c>
      <c r="K4612" s="12">
        <v>0</v>
      </c>
      <c r="L4612" s="9"/>
      <c r="M4612" s="12">
        <v>0</v>
      </c>
      <c r="N4612" s="9"/>
      <c r="O4612" s="12">
        <v>0</v>
      </c>
      <c r="P4612" s="9"/>
      <c r="Q4612" s="12">
        <f t="shared" si="128"/>
        <v>0</v>
      </c>
    </row>
    <row r="4613" spans="1:32" ht="11.85" customHeight="1" x14ac:dyDescent="0.2">
      <c r="A4613" s="3" t="s">
        <v>1337</v>
      </c>
      <c r="C4613" s="2">
        <f>SUM(C4606:C4612)</f>
        <v>11319.72</v>
      </c>
      <c r="E4613" s="2">
        <f>SUM(E4606:E4612)</f>
        <v>16229.17</v>
      </c>
      <c r="G4613" s="2">
        <f>SUM(G4606:G4612)</f>
        <v>91369.08</v>
      </c>
      <c r="I4613" s="2">
        <f>SUM(I4606:I4612)</f>
        <v>68000</v>
      </c>
      <c r="K4613" s="2">
        <f>SUM(K4606:K4612)</f>
        <v>110000</v>
      </c>
      <c r="L4613" s="9"/>
      <c r="M4613" s="2">
        <f>SUM(M4606:M4612)</f>
        <v>98000</v>
      </c>
      <c r="N4613" s="9"/>
      <c r="O4613" s="2">
        <f>SUM(O4606:O4612)</f>
        <v>0</v>
      </c>
      <c r="P4613" s="9"/>
      <c r="Q4613" s="2">
        <f>SUM(Q4606:Q4612)</f>
        <v>98000</v>
      </c>
      <c r="AF4613" s="2"/>
    </row>
    <row r="4614" spans="1:32" ht="11.85" customHeight="1" x14ac:dyDescent="0.2">
      <c r="L4614" s="9"/>
      <c r="N4614" s="9"/>
      <c r="P4614" s="9"/>
    </row>
    <row r="4615" spans="1:32" ht="11.85" customHeight="1" x14ac:dyDescent="0.2">
      <c r="A4615" s="10" t="s">
        <v>244</v>
      </c>
      <c r="L4615" s="9"/>
      <c r="N4615" s="9"/>
      <c r="P4615" s="9"/>
    </row>
    <row r="4616" spans="1:32" ht="11.85" customHeight="1" x14ac:dyDescent="0.2">
      <c r="A4616" s="3" t="s">
        <v>1827</v>
      </c>
      <c r="C4616" s="12">
        <v>0</v>
      </c>
      <c r="E4616" s="12">
        <v>206527</v>
      </c>
      <c r="G4616" s="12">
        <v>0</v>
      </c>
      <c r="I4616" s="12">
        <v>0</v>
      </c>
      <c r="K4616" s="12">
        <v>0</v>
      </c>
      <c r="L4616" s="9"/>
      <c r="M4616" s="12">
        <v>250000</v>
      </c>
      <c r="N4616" s="9"/>
      <c r="O4616" s="12">
        <v>0</v>
      </c>
      <c r="P4616" s="9"/>
      <c r="Q4616" s="12">
        <f>M4616+O4616</f>
        <v>250000</v>
      </c>
    </row>
    <row r="4617" spans="1:32" ht="11.85" hidden="1" customHeight="1" x14ac:dyDescent="0.2">
      <c r="A4617" s="3" t="s">
        <v>1828</v>
      </c>
      <c r="C4617" s="12">
        <v>0</v>
      </c>
      <c r="E4617" s="12">
        <v>0</v>
      </c>
      <c r="G4617" s="12">
        <v>0</v>
      </c>
      <c r="I4617" s="12">
        <v>0</v>
      </c>
      <c r="K4617" s="12" t="s">
        <v>59</v>
      </c>
      <c r="L4617" s="9"/>
      <c r="M4617" s="12">
        <v>0</v>
      </c>
      <c r="N4617" s="9"/>
      <c r="O4617" s="12">
        <v>0</v>
      </c>
      <c r="P4617" s="9"/>
      <c r="Q4617" s="12">
        <f>M4617+O4617</f>
        <v>0</v>
      </c>
    </row>
    <row r="4618" spans="1:32" ht="11.85" hidden="1" customHeight="1" x14ac:dyDescent="0.2">
      <c r="A4618" s="3" t="s">
        <v>1829</v>
      </c>
      <c r="C4618" s="12">
        <v>0</v>
      </c>
      <c r="E4618" s="12">
        <v>0</v>
      </c>
      <c r="G4618" s="12">
        <v>0</v>
      </c>
      <c r="I4618" s="12">
        <v>0</v>
      </c>
      <c r="K4618" s="12">
        <v>0</v>
      </c>
      <c r="L4618" s="9"/>
      <c r="M4618" s="12">
        <v>0</v>
      </c>
      <c r="N4618" s="9"/>
      <c r="O4618" s="12">
        <v>0</v>
      </c>
      <c r="P4618" s="9"/>
      <c r="Q4618" s="12">
        <f>M4618+O4618</f>
        <v>0</v>
      </c>
    </row>
    <row r="4619" spans="1:32" ht="11.85" customHeight="1" x14ac:dyDescent="0.2">
      <c r="A4619" s="3" t="s">
        <v>258</v>
      </c>
      <c r="C4619" s="2">
        <f>SUM(C4616:C4618)</f>
        <v>0</v>
      </c>
      <c r="E4619" s="2">
        <f>SUM(E4616:E4618)</f>
        <v>206527</v>
      </c>
      <c r="G4619" s="2">
        <f>SUM(G4616:G4618)</f>
        <v>0</v>
      </c>
      <c r="I4619" s="2">
        <f>SUM(I4616:I4618)</f>
        <v>0</v>
      </c>
      <c r="K4619" s="2">
        <f>SUM(K4616:K4618)</f>
        <v>0</v>
      </c>
      <c r="L4619" s="9"/>
      <c r="M4619" s="2">
        <f>SUM(M4616:M4618)</f>
        <v>250000</v>
      </c>
      <c r="N4619" s="9"/>
      <c r="O4619" s="2">
        <f>SUM(O4616:O4618)</f>
        <v>0</v>
      </c>
      <c r="P4619" s="9"/>
      <c r="Q4619" s="2">
        <f>SUM(Q4616:Q4618)</f>
        <v>250000</v>
      </c>
      <c r="U4619" s="9"/>
    </row>
    <row r="4620" spans="1:32" ht="11.85" customHeight="1" x14ac:dyDescent="0.2">
      <c r="L4620" s="9"/>
      <c r="N4620" s="9"/>
      <c r="P4620" s="9"/>
    </row>
    <row r="4621" spans="1:32" ht="11.85" customHeight="1" thickBot="1" x14ac:dyDescent="0.25">
      <c r="A4621" s="3" t="s">
        <v>270</v>
      </c>
      <c r="C4621" s="25">
        <f>C4603+C4613+C4619</f>
        <v>1307679.1600000001</v>
      </c>
      <c r="E4621" s="25">
        <f>E4603+E4613+E4619</f>
        <v>1566303.0699999998</v>
      </c>
      <c r="G4621" s="25">
        <f>G4603+G4613+G4619</f>
        <v>1512911.5</v>
      </c>
      <c r="I4621" s="25">
        <f>I4603+I4613+I4619</f>
        <v>1421000</v>
      </c>
      <c r="K4621" s="25">
        <f>K4603+K4613+K4619</f>
        <v>1463000</v>
      </c>
      <c r="L4621" s="9"/>
      <c r="M4621" s="25">
        <f>M4603+M4613+M4619</f>
        <v>1736000</v>
      </c>
      <c r="N4621" s="9"/>
      <c r="O4621" s="36">
        <f>O4603+O4613+O4619</f>
        <v>0</v>
      </c>
      <c r="P4621" s="9"/>
      <c r="Q4621" s="25">
        <f>Q4603+Q4613+Q4619</f>
        <v>1736000</v>
      </c>
      <c r="R4621" s="9"/>
      <c r="T4621" s="11"/>
      <c r="U4621" s="9"/>
    </row>
    <row r="4622" spans="1:32" ht="11.85" customHeight="1" thickTop="1" x14ac:dyDescent="0.2">
      <c r="L4622" s="9"/>
      <c r="N4622" s="9"/>
      <c r="P4622" s="9"/>
    </row>
    <row r="4623" spans="1:32" ht="11.85" customHeight="1" x14ac:dyDescent="0.2">
      <c r="L4623" s="9"/>
      <c r="N4623" s="9"/>
      <c r="P4623" s="9"/>
    </row>
    <row r="4624" spans="1:32" ht="11.85" customHeight="1" x14ac:dyDescent="0.2">
      <c r="A4624" s="3" t="s">
        <v>271</v>
      </c>
      <c r="C4624" s="2">
        <f>C4591+C4621</f>
        <v>1985250.6800000002</v>
      </c>
      <c r="E4624" s="2">
        <f>E4591+E4621</f>
        <v>2150769.83</v>
      </c>
      <c r="G4624" s="2">
        <f>G4591+G4621</f>
        <v>2383132.2600000002</v>
      </c>
      <c r="I4624" s="2">
        <f>I4591+I4621</f>
        <v>2445539.5</v>
      </c>
      <c r="K4624" s="2">
        <f>K4591+K4621</f>
        <v>2487539.5</v>
      </c>
      <c r="L4624" s="9"/>
      <c r="M4624" s="2">
        <f>M4591+M4621</f>
        <v>2491105.5</v>
      </c>
      <c r="N4624" s="9"/>
      <c r="P4624" s="9"/>
      <c r="Q4624" s="2">
        <f>Q4591+Q4621</f>
        <v>2491105.5</v>
      </c>
    </row>
    <row r="4625" spans="12:16" ht="11.85" customHeight="1" x14ac:dyDescent="0.2">
      <c r="L4625" s="9"/>
      <c r="N4625" s="9"/>
      <c r="P4625" s="9"/>
    </row>
    <row r="4626" spans="12:16" ht="11.85" customHeight="1" x14ac:dyDescent="0.2">
      <c r="L4626" s="9"/>
      <c r="N4626" s="9"/>
      <c r="P4626" s="9"/>
    </row>
    <row r="4627" spans="12:16" ht="11.85" customHeight="1" x14ac:dyDescent="0.2">
      <c r="L4627" s="9"/>
      <c r="N4627" s="9"/>
      <c r="P4627" s="9"/>
    </row>
    <row r="4628" spans="12:16" ht="11.85" customHeight="1" x14ac:dyDescent="0.2">
      <c r="L4628" s="9"/>
      <c r="N4628" s="9"/>
      <c r="P4628" s="9"/>
    </row>
    <row r="4629" spans="12:16" ht="11.85" customHeight="1" x14ac:dyDescent="0.2">
      <c r="L4629" s="9"/>
      <c r="N4629" s="9"/>
      <c r="P4629" s="9"/>
    </row>
    <row r="4630" spans="12:16" ht="11.85" customHeight="1" x14ac:dyDescent="0.2">
      <c r="L4630" s="9"/>
      <c r="N4630" s="9"/>
      <c r="P4630" s="9"/>
    </row>
    <row r="4631" spans="12:16" ht="11.85" customHeight="1" x14ac:dyDescent="0.2">
      <c r="L4631" s="9"/>
      <c r="N4631" s="9"/>
      <c r="P4631" s="9"/>
    </row>
    <row r="4632" spans="12:16" ht="11.85" customHeight="1" x14ac:dyDescent="0.2">
      <c r="L4632" s="9"/>
      <c r="N4632" s="9"/>
      <c r="P4632" s="9"/>
    </row>
    <row r="4633" spans="12:16" ht="11.85" customHeight="1" x14ac:dyDescent="0.2">
      <c r="L4633" s="9"/>
      <c r="N4633" s="9"/>
      <c r="P4633" s="9"/>
    </row>
    <row r="4634" spans="12:16" ht="11.85" customHeight="1" x14ac:dyDescent="0.2">
      <c r="L4634" s="9"/>
      <c r="N4634" s="9"/>
      <c r="P4634" s="9"/>
    </row>
    <row r="4635" spans="12:16" ht="11.85" customHeight="1" x14ac:dyDescent="0.2">
      <c r="L4635" s="9"/>
      <c r="N4635" s="9"/>
      <c r="P4635" s="9"/>
    </row>
    <row r="4636" spans="12:16" ht="11.85" customHeight="1" x14ac:dyDescent="0.2">
      <c r="L4636" s="9"/>
      <c r="N4636" s="9"/>
      <c r="P4636" s="9"/>
    </row>
    <row r="4637" spans="12:16" ht="11.85" customHeight="1" x14ac:dyDescent="0.2">
      <c r="L4637" s="9"/>
      <c r="N4637" s="9"/>
      <c r="P4637" s="9"/>
    </row>
    <row r="4638" spans="12:16" ht="11.85" customHeight="1" x14ac:dyDescent="0.2">
      <c r="L4638" s="9"/>
      <c r="N4638" s="9"/>
      <c r="P4638" s="9"/>
    </row>
    <row r="4639" spans="12:16" ht="11.85" customHeight="1" x14ac:dyDescent="0.2">
      <c r="L4639" s="9"/>
      <c r="N4639" s="9"/>
      <c r="P4639" s="9"/>
    </row>
    <row r="4640" spans="12:16" ht="11.85" customHeight="1" x14ac:dyDescent="0.2">
      <c r="L4640" s="9"/>
      <c r="N4640" s="9"/>
      <c r="P4640" s="9"/>
    </row>
    <row r="4641" spans="1:20" ht="11.85" customHeight="1" x14ac:dyDescent="0.2">
      <c r="L4641" s="9"/>
      <c r="N4641" s="9"/>
      <c r="P4641" s="9"/>
    </row>
    <row r="4642" spans="1:20" ht="11.85" customHeight="1" x14ac:dyDescent="0.2">
      <c r="L4642" s="9"/>
      <c r="N4642" s="9"/>
      <c r="P4642" s="9"/>
    </row>
    <row r="4643" spans="1:20" ht="11.85" customHeight="1" x14ac:dyDescent="0.2">
      <c r="L4643" s="9"/>
      <c r="N4643" s="9"/>
      <c r="P4643" s="9"/>
    </row>
    <row r="4644" spans="1:20" ht="11.85" customHeight="1" x14ac:dyDescent="0.2">
      <c r="L4644" s="9"/>
      <c r="N4644" s="9"/>
      <c r="P4644" s="9"/>
    </row>
    <row r="4645" spans="1:20" ht="11.85" customHeight="1" x14ac:dyDescent="0.2">
      <c r="L4645" s="9"/>
      <c r="N4645" s="9"/>
      <c r="P4645" s="9"/>
    </row>
    <row r="4646" spans="1:20" ht="11.85" customHeight="1" x14ac:dyDescent="0.2">
      <c r="A4646" s="1"/>
      <c r="B4646" s="1"/>
      <c r="E4646" s="2" t="str">
        <f>$E$1</f>
        <v>CITY OF BRADY</v>
      </c>
    </row>
    <row r="4647" spans="1:20" ht="11.85" customHeight="1" x14ac:dyDescent="0.2">
      <c r="E4647" s="2" t="str">
        <f>$E$2</f>
        <v>BUDGET REPORT</v>
      </c>
    </row>
    <row r="4648" spans="1:20" ht="11.85" customHeight="1" x14ac:dyDescent="0.2">
      <c r="E4648" s="2" t="str">
        <f>$E$3</f>
        <v>FISCAL YEAR 2024 - 2025</v>
      </c>
    </row>
    <row r="4649" spans="1:20" ht="11.85" customHeight="1" x14ac:dyDescent="0.2">
      <c r="A4649" s="3" t="s">
        <v>1812</v>
      </c>
      <c r="S4649" s="18"/>
    </row>
    <row r="4650" spans="1:20" ht="11.85" customHeight="1" x14ac:dyDescent="0.2">
      <c r="A4650" s="3" t="s">
        <v>1830</v>
      </c>
    </row>
    <row r="4651" spans="1:20" ht="11.85" customHeight="1" x14ac:dyDescent="0.2">
      <c r="I4651" s="53" t="str">
        <f>$I$6</f>
        <v>(----- 2023-2024------)</v>
      </c>
      <c r="J4651" s="53"/>
      <c r="K4651" s="53"/>
      <c r="L4651" s="6"/>
      <c r="M4651" s="54" t="str">
        <f>$M$6</f>
        <v>2024-2025</v>
      </c>
      <c r="N4651" s="54"/>
      <c r="O4651" s="54"/>
      <c r="P4651" s="54"/>
      <c r="Q4651" s="54"/>
    </row>
    <row r="4652" spans="1:20" ht="11.85" customHeight="1" x14ac:dyDescent="0.2">
      <c r="C4652" s="5" t="str">
        <f>$C$7</f>
        <v>2020-2021</v>
      </c>
      <c r="D4652" s="5"/>
      <c r="E4652" s="5" t="str">
        <f>$E$7</f>
        <v>2021-2022</v>
      </c>
      <c r="F4652" s="5"/>
      <c r="G4652" s="5" t="str">
        <f>$G$7</f>
        <v>2022-2023</v>
      </c>
      <c r="H4652" s="5"/>
      <c r="I4652" s="5" t="s">
        <v>9</v>
      </c>
      <c r="J4652" s="5"/>
      <c r="K4652" s="5" t="str">
        <f>+$K$7</f>
        <v>PROJECTED</v>
      </c>
      <c r="L4652" s="6"/>
      <c r="M4652" s="5">
        <f>$M$7</f>
        <v>0</v>
      </c>
      <c r="N4652" s="6"/>
      <c r="O4652" s="5" t="str">
        <f>$O$7</f>
        <v>2024-2025</v>
      </c>
      <c r="P4652" s="6"/>
      <c r="Q4652" s="5" t="str">
        <f>$Q$7</f>
        <v>APPROVED</v>
      </c>
    </row>
    <row r="4653" spans="1:20" ht="11.85" customHeight="1" x14ac:dyDescent="0.2">
      <c r="A4653" s="7" t="s">
        <v>273</v>
      </c>
      <c r="C4653" s="8" t="s">
        <v>12</v>
      </c>
      <c r="D4653" s="5"/>
      <c r="E4653" s="8" t="s">
        <v>12</v>
      </c>
      <c r="F4653" s="5"/>
      <c r="G4653" s="8" t="s">
        <v>12</v>
      </c>
      <c r="H4653" s="5"/>
      <c r="I4653" s="8" t="s">
        <v>13</v>
      </c>
      <c r="J4653" s="5"/>
      <c r="K4653" s="8" t="s">
        <v>13</v>
      </c>
      <c r="L4653" s="6"/>
      <c r="M4653" s="8" t="str">
        <f>$M$8</f>
        <v>BASE</v>
      </c>
      <c r="N4653" s="6"/>
      <c r="O4653" s="8" t="str">
        <f>$O$8</f>
        <v>SUPPLEMENTAL</v>
      </c>
      <c r="P4653" s="6"/>
      <c r="Q4653" s="8" t="str">
        <f>$Q$8</f>
        <v>BUDGET</v>
      </c>
    </row>
    <row r="4654" spans="1:20" ht="11.85" customHeight="1" x14ac:dyDescent="0.2"/>
    <row r="4655" spans="1:20" ht="11.85" customHeight="1" x14ac:dyDescent="0.2">
      <c r="A4655" s="10" t="s">
        <v>274</v>
      </c>
    </row>
    <row r="4656" spans="1:20" ht="11.85" customHeight="1" x14ac:dyDescent="0.2">
      <c r="A4656" s="3" t="s">
        <v>1831</v>
      </c>
      <c r="C4656" s="2">
        <v>314662.69</v>
      </c>
      <c r="E4656" s="2">
        <v>304558.14</v>
      </c>
      <c r="G4656" s="2">
        <v>317168.01</v>
      </c>
      <c r="I4656" s="2">
        <v>334589</v>
      </c>
      <c r="K4656" s="2">
        <f>334589-7000</f>
        <v>327589</v>
      </c>
      <c r="L4656" s="9"/>
      <c r="M4656" s="2">
        <v>333614</v>
      </c>
      <c r="N4656" s="9"/>
      <c r="O4656" s="2">
        <v>27040</v>
      </c>
      <c r="P4656" s="9"/>
      <c r="Q4656" s="2">
        <f t="shared" ref="Q4656:Q4664" si="129">M4656+O4656</f>
        <v>360654</v>
      </c>
      <c r="T4656" s="11"/>
    </row>
    <row r="4657" spans="1:21" ht="11.85" customHeight="1" x14ac:dyDescent="0.2">
      <c r="A4657" s="3" t="s">
        <v>1832</v>
      </c>
      <c r="C4657" s="2">
        <v>19992.68</v>
      </c>
      <c r="E4657" s="2">
        <v>18614.599999999999</v>
      </c>
      <c r="G4657" s="2">
        <v>24496.720000000001</v>
      </c>
      <c r="I4657" s="2">
        <v>21300</v>
      </c>
      <c r="K4657" s="2">
        <f>21300+6000+7000</f>
        <v>34300</v>
      </c>
      <c r="L4657" s="9"/>
      <c r="M4657" s="2">
        <v>34000</v>
      </c>
      <c r="N4657" s="9"/>
      <c r="O4657" s="2">
        <v>0</v>
      </c>
      <c r="P4657" s="9"/>
      <c r="Q4657" s="2">
        <f t="shared" si="129"/>
        <v>34000</v>
      </c>
      <c r="T4657" s="11"/>
    </row>
    <row r="4658" spans="1:21" ht="11.85" customHeight="1" x14ac:dyDescent="0.2">
      <c r="A4658" s="3" t="s">
        <v>1833</v>
      </c>
      <c r="C4658" s="2">
        <v>1200</v>
      </c>
      <c r="E4658" s="2">
        <v>1700</v>
      </c>
      <c r="G4658" s="2">
        <v>2400</v>
      </c>
      <c r="I4658" s="2">
        <v>3000</v>
      </c>
      <c r="K4658" s="2">
        <v>3000</v>
      </c>
      <c r="L4658" s="9"/>
      <c r="M4658" s="2">
        <v>3000</v>
      </c>
      <c r="N4658" s="9"/>
      <c r="O4658" s="2">
        <v>0</v>
      </c>
      <c r="P4658" s="9"/>
      <c r="Q4658" s="2">
        <f t="shared" si="129"/>
        <v>3000</v>
      </c>
      <c r="T4658" s="11"/>
    </row>
    <row r="4659" spans="1:21" ht="11.85" customHeight="1" x14ac:dyDescent="0.2">
      <c r="A4659" s="3" t="s">
        <v>1834</v>
      </c>
      <c r="C4659" s="2">
        <v>0</v>
      </c>
      <c r="E4659" s="2">
        <v>0</v>
      </c>
      <c r="G4659" s="2">
        <v>400</v>
      </c>
      <c r="I4659" s="2">
        <v>600</v>
      </c>
      <c r="K4659" s="2">
        <v>600</v>
      </c>
      <c r="L4659" s="9"/>
      <c r="M4659" s="2">
        <v>600</v>
      </c>
      <c r="N4659" s="9"/>
      <c r="O4659" s="2">
        <v>0</v>
      </c>
      <c r="P4659" s="9"/>
      <c r="Q4659" s="2">
        <f t="shared" si="129"/>
        <v>600</v>
      </c>
      <c r="T4659" s="11"/>
    </row>
    <row r="4660" spans="1:21" ht="11.85" customHeight="1" x14ac:dyDescent="0.2">
      <c r="A4660" s="3" t="s">
        <v>1835</v>
      </c>
      <c r="C4660" s="2">
        <v>106813.77</v>
      </c>
      <c r="E4660" s="2">
        <v>87237.48</v>
      </c>
      <c r="G4660" s="2">
        <v>83161.97</v>
      </c>
      <c r="I4660" s="2">
        <v>103140</v>
      </c>
      <c r="K4660" s="2">
        <v>103140</v>
      </c>
      <c r="L4660" s="9"/>
      <c r="M4660" s="2">
        <v>91273</v>
      </c>
      <c r="N4660" s="9"/>
      <c r="O4660" s="2">
        <v>0</v>
      </c>
      <c r="P4660" s="9"/>
      <c r="Q4660" s="2">
        <f t="shared" si="129"/>
        <v>91273</v>
      </c>
      <c r="T4660" s="11"/>
    </row>
    <row r="4661" spans="1:21" ht="11.85" customHeight="1" x14ac:dyDescent="0.2">
      <c r="A4661" s="3" t="s">
        <v>1836</v>
      </c>
      <c r="C4661" s="2">
        <v>33446.15</v>
      </c>
      <c r="E4661" s="2">
        <v>31269.8</v>
      </c>
      <c r="G4661" s="2">
        <v>33505.81</v>
      </c>
      <c r="I4661" s="2">
        <v>35438</v>
      </c>
      <c r="K4661" s="2">
        <v>35438</v>
      </c>
      <c r="L4661" s="9"/>
      <c r="M4661" s="2">
        <v>35705</v>
      </c>
      <c r="N4661" s="9"/>
      <c r="O4661" s="2">
        <v>0</v>
      </c>
      <c r="P4661" s="9"/>
      <c r="Q4661" s="2">
        <f t="shared" si="129"/>
        <v>35705</v>
      </c>
      <c r="T4661" s="11"/>
    </row>
    <row r="4662" spans="1:21" ht="11.85" customHeight="1" x14ac:dyDescent="0.2">
      <c r="A4662" s="3" t="s">
        <v>1837</v>
      </c>
      <c r="C4662" s="2">
        <v>16693.45</v>
      </c>
      <c r="E4662" s="2">
        <v>15984</v>
      </c>
      <c r="G4662" s="2">
        <v>16690.400000000001</v>
      </c>
      <c r="I4662" s="2">
        <v>18918</v>
      </c>
      <c r="K4662" s="2">
        <v>18918</v>
      </c>
      <c r="L4662" s="9"/>
      <c r="M4662" s="2">
        <v>12329</v>
      </c>
      <c r="N4662" s="9"/>
      <c r="O4662" s="2">
        <v>1400</v>
      </c>
      <c r="P4662" s="9"/>
      <c r="Q4662" s="2">
        <f t="shared" si="129"/>
        <v>13729</v>
      </c>
      <c r="T4662" s="11"/>
    </row>
    <row r="4663" spans="1:21" ht="11.85" customHeight="1" x14ac:dyDescent="0.2">
      <c r="A4663" s="3" t="s">
        <v>1838</v>
      </c>
      <c r="C4663" s="2">
        <v>2612.7199999999998</v>
      </c>
      <c r="E4663" s="2">
        <v>264.31</v>
      </c>
      <c r="G4663" s="2">
        <v>71.239999999999995</v>
      </c>
      <c r="I4663" s="2">
        <v>753</v>
      </c>
      <c r="K4663" s="2">
        <v>753</v>
      </c>
      <c r="L4663" s="9"/>
      <c r="M4663" s="2">
        <v>810</v>
      </c>
      <c r="N4663" s="9"/>
      <c r="O4663" s="2">
        <v>90</v>
      </c>
      <c r="P4663" s="9"/>
      <c r="Q4663" s="2">
        <f t="shared" si="129"/>
        <v>900</v>
      </c>
      <c r="T4663" s="11"/>
    </row>
    <row r="4664" spans="1:21" ht="11.85" customHeight="1" x14ac:dyDescent="0.2">
      <c r="A4664" s="3" t="s">
        <v>1839</v>
      </c>
      <c r="C4664" s="12">
        <v>24094</v>
      </c>
      <c r="E4664" s="12">
        <v>25713.64</v>
      </c>
      <c r="G4664" s="12">
        <v>26329.26</v>
      </c>
      <c r="I4664" s="12">
        <v>27759</v>
      </c>
      <c r="K4664" s="12">
        <v>27759</v>
      </c>
      <c r="L4664" s="9"/>
      <c r="M4664" s="12">
        <v>28674</v>
      </c>
      <c r="N4664" s="9"/>
      <c r="O4664" s="12">
        <v>2103</v>
      </c>
      <c r="P4664" s="9"/>
      <c r="Q4664" s="12">
        <f t="shared" si="129"/>
        <v>30777</v>
      </c>
      <c r="T4664" s="11"/>
    </row>
    <row r="4665" spans="1:21" ht="11.85" customHeight="1" x14ac:dyDescent="0.2">
      <c r="A4665" s="3" t="s">
        <v>285</v>
      </c>
      <c r="C4665" s="2">
        <f>SUM(C4656:C4664)</f>
        <v>519515.46</v>
      </c>
      <c r="E4665" s="2">
        <f>SUM(E4656:E4664)</f>
        <v>485341.97</v>
      </c>
      <c r="G4665" s="2">
        <f>SUM(G4656:G4664)</f>
        <v>504223.41</v>
      </c>
      <c r="I4665" s="2">
        <f>SUM(I4656:I4664)</f>
        <v>545497</v>
      </c>
      <c r="K4665" s="2">
        <f>SUM(K4656:K4664)</f>
        <v>551497</v>
      </c>
      <c r="L4665" s="9"/>
      <c r="M4665" s="2">
        <f>SUM(M4656:M4664)</f>
        <v>540005</v>
      </c>
      <c r="N4665" s="9"/>
      <c r="O4665" s="2">
        <f>SUM(O4656:O4664)</f>
        <v>30633</v>
      </c>
      <c r="P4665" s="9"/>
      <c r="Q4665" s="2">
        <f>SUM(Q4656:Q4664)</f>
        <v>570638</v>
      </c>
      <c r="R4665" s="9"/>
      <c r="U4665" s="9"/>
    </row>
    <row r="4666" spans="1:21" ht="11.85" customHeight="1" x14ac:dyDescent="0.2">
      <c r="L4666" s="9"/>
      <c r="N4666" s="9"/>
      <c r="P4666" s="9"/>
    </row>
    <row r="4667" spans="1:21" ht="11.85" customHeight="1" x14ac:dyDescent="0.2">
      <c r="A4667" s="10" t="s">
        <v>286</v>
      </c>
      <c r="L4667" s="9"/>
      <c r="N4667" s="9"/>
      <c r="P4667" s="9"/>
    </row>
    <row r="4668" spans="1:21" ht="11.85" customHeight="1" x14ac:dyDescent="0.2">
      <c r="A4668" s="3" t="s">
        <v>1840</v>
      </c>
      <c r="C4668" s="2">
        <v>0</v>
      </c>
      <c r="E4668" s="2">
        <v>0</v>
      </c>
      <c r="G4668" s="2">
        <v>0</v>
      </c>
      <c r="I4668" s="2">
        <v>0</v>
      </c>
      <c r="K4668" s="2">
        <v>0</v>
      </c>
      <c r="L4668" s="9"/>
      <c r="M4668" s="2">
        <v>0</v>
      </c>
      <c r="N4668" s="9"/>
      <c r="O4668" s="2">
        <v>0</v>
      </c>
      <c r="P4668" s="9"/>
      <c r="Q4668" s="2">
        <f t="shared" ref="Q4668:Q4680" si="130">M4668+O4668</f>
        <v>0</v>
      </c>
      <c r="T4668" s="11"/>
    </row>
    <row r="4669" spans="1:21" ht="11.85" customHeight="1" x14ac:dyDescent="0.2">
      <c r="A4669" s="3" t="s">
        <v>1841</v>
      </c>
      <c r="C4669" s="2">
        <v>1289.5</v>
      </c>
      <c r="E4669" s="2">
        <v>1703.55</v>
      </c>
      <c r="G4669" s="2">
        <v>1958.49</v>
      </c>
      <c r="I4669" s="2">
        <v>2000</v>
      </c>
      <c r="K4669" s="2">
        <v>2000</v>
      </c>
      <c r="L4669" s="9"/>
      <c r="M4669" s="2">
        <v>2000</v>
      </c>
      <c r="N4669" s="9"/>
      <c r="O4669" s="2">
        <v>0</v>
      </c>
      <c r="P4669" s="9"/>
      <c r="Q4669" s="2">
        <f t="shared" si="130"/>
        <v>2000</v>
      </c>
      <c r="T4669" s="11"/>
    </row>
    <row r="4670" spans="1:21" ht="11.85" customHeight="1" x14ac:dyDescent="0.2">
      <c r="A4670" s="3" t="s">
        <v>1842</v>
      </c>
      <c r="C4670" s="2">
        <v>11200</v>
      </c>
      <c r="E4670" s="2">
        <v>7865.91</v>
      </c>
      <c r="G4670" s="2">
        <v>6590</v>
      </c>
      <c r="I4670" s="2">
        <v>6000</v>
      </c>
      <c r="K4670" s="2">
        <v>6000</v>
      </c>
      <c r="L4670" s="9"/>
      <c r="M4670" s="2">
        <v>14000</v>
      </c>
      <c r="N4670" s="9"/>
      <c r="O4670" s="2">
        <v>0</v>
      </c>
      <c r="P4670" s="9"/>
      <c r="Q4670" s="2">
        <f t="shared" si="130"/>
        <v>14000</v>
      </c>
      <c r="T4670" s="11"/>
    </row>
    <row r="4671" spans="1:21" ht="11.85" customHeight="1" x14ac:dyDescent="0.2">
      <c r="A4671" s="3" t="s">
        <v>1843</v>
      </c>
      <c r="C4671" s="2">
        <v>8296.89</v>
      </c>
      <c r="E4671" s="2">
        <v>9360.34</v>
      </c>
      <c r="G4671" s="2">
        <v>11102.03</v>
      </c>
      <c r="I4671" s="2">
        <v>11000</v>
      </c>
      <c r="K4671" s="2">
        <v>11000</v>
      </c>
      <c r="L4671" s="9"/>
      <c r="M4671" s="2">
        <v>140510</v>
      </c>
      <c r="N4671" s="9"/>
      <c r="O4671" s="2">
        <v>0</v>
      </c>
      <c r="P4671" s="9"/>
      <c r="Q4671" s="2">
        <f t="shared" si="130"/>
        <v>140510</v>
      </c>
      <c r="T4671" s="11"/>
    </row>
    <row r="4672" spans="1:21" ht="11.85" customHeight="1" x14ac:dyDescent="0.2">
      <c r="A4672" s="3" t="s">
        <v>1844</v>
      </c>
      <c r="C4672" s="2">
        <v>9122.08</v>
      </c>
      <c r="E4672" s="2">
        <v>15447.14</v>
      </c>
      <c r="G4672" s="2">
        <v>17645.93</v>
      </c>
      <c r="I4672" s="2">
        <v>13300</v>
      </c>
      <c r="K4672" s="2">
        <v>13300</v>
      </c>
      <c r="L4672" s="9"/>
      <c r="M4672" s="2">
        <v>13700</v>
      </c>
      <c r="N4672" s="9"/>
      <c r="O4672" s="2">
        <v>0</v>
      </c>
      <c r="P4672" s="9"/>
      <c r="Q4672" s="2">
        <f t="shared" si="130"/>
        <v>13700</v>
      </c>
      <c r="T4672" s="11"/>
    </row>
    <row r="4673" spans="1:20" ht="11.85" hidden="1" customHeight="1" x14ac:dyDescent="0.2">
      <c r="A4673" s="3" t="s">
        <v>1845</v>
      </c>
      <c r="C4673" s="2">
        <v>0</v>
      </c>
      <c r="E4673" s="2">
        <v>0</v>
      </c>
      <c r="G4673" s="2">
        <v>0</v>
      </c>
      <c r="I4673" s="2">
        <v>0</v>
      </c>
      <c r="K4673" s="2">
        <v>0</v>
      </c>
      <c r="L4673" s="9"/>
      <c r="M4673" s="2">
        <v>0</v>
      </c>
      <c r="N4673" s="9"/>
      <c r="O4673" s="2">
        <v>0</v>
      </c>
      <c r="P4673" s="9"/>
      <c r="Q4673" s="2">
        <f t="shared" si="130"/>
        <v>0</v>
      </c>
      <c r="T4673" s="11"/>
    </row>
    <row r="4674" spans="1:20" ht="11.85" customHeight="1" x14ac:dyDescent="0.2">
      <c r="A4674" s="3" t="s">
        <v>1846</v>
      </c>
      <c r="C4674" s="2">
        <v>230472.42</v>
      </c>
      <c r="E4674" s="2">
        <v>239541.96</v>
      </c>
      <c r="G4674" s="2">
        <v>239541.96</v>
      </c>
      <c r="I4674" s="2">
        <v>315000</v>
      </c>
      <c r="K4674" s="2">
        <v>315000</v>
      </c>
      <c r="L4674" s="9"/>
      <c r="M4674" s="2">
        <v>364000</v>
      </c>
      <c r="N4674" s="9"/>
      <c r="O4674" s="2">
        <v>0</v>
      </c>
      <c r="P4674" s="9"/>
      <c r="Q4674" s="2">
        <f t="shared" si="130"/>
        <v>364000</v>
      </c>
      <c r="T4674" s="11"/>
    </row>
    <row r="4675" spans="1:20" ht="11.85" customHeight="1" x14ac:dyDescent="0.2">
      <c r="A4675" s="3" t="s">
        <v>1847</v>
      </c>
      <c r="C4675" s="2">
        <v>0</v>
      </c>
      <c r="E4675" s="2">
        <v>0</v>
      </c>
      <c r="G4675" s="2">
        <v>0</v>
      </c>
      <c r="I4675" s="2">
        <v>0</v>
      </c>
      <c r="K4675" s="2">
        <v>0</v>
      </c>
      <c r="L4675" s="9"/>
      <c r="M4675" s="2">
        <v>0</v>
      </c>
      <c r="N4675" s="9"/>
      <c r="O4675" s="2">
        <v>0</v>
      </c>
      <c r="P4675" s="9"/>
      <c r="Q4675" s="2">
        <f t="shared" si="130"/>
        <v>0</v>
      </c>
      <c r="T4675" s="11"/>
    </row>
    <row r="4676" spans="1:20" ht="11.85" hidden="1" customHeight="1" x14ac:dyDescent="0.2">
      <c r="A4676" s="3" t="s">
        <v>1848</v>
      </c>
      <c r="C4676" s="2">
        <v>0</v>
      </c>
      <c r="E4676" s="2">
        <v>0</v>
      </c>
      <c r="G4676" s="2">
        <v>0</v>
      </c>
      <c r="I4676" s="2">
        <v>0</v>
      </c>
      <c r="K4676" s="2">
        <v>0</v>
      </c>
      <c r="L4676" s="9"/>
      <c r="M4676" s="2">
        <v>0</v>
      </c>
      <c r="N4676" s="9"/>
      <c r="O4676" s="2">
        <v>0</v>
      </c>
      <c r="P4676" s="9"/>
      <c r="Q4676" s="2">
        <f>M4676+O4676</f>
        <v>0</v>
      </c>
      <c r="T4676" s="11"/>
    </row>
    <row r="4677" spans="1:20" ht="11.85" customHeight="1" x14ac:dyDescent="0.2">
      <c r="A4677" s="3" t="s">
        <v>1849</v>
      </c>
      <c r="C4677" s="2">
        <v>234.6</v>
      </c>
      <c r="E4677" s="2">
        <v>234.6</v>
      </c>
      <c r="G4677" s="2">
        <v>291.5</v>
      </c>
      <c r="I4677" s="2">
        <v>600</v>
      </c>
      <c r="K4677" s="2">
        <v>600</v>
      </c>
      <c r="L4677" s="9"/>
      <c r="M4677" s="2">
        <v>600</v>
      </c>
      <c r="N4677" s="9"/>
      <c r="O4677" s="2">
        <v>0</v>
      </c>
      <c r="P4677" s="9"/>
      <c r="Q4677" s="2">
        <f>M4677+O4677</f>
        <v>600</v>
      </c>
      <c r="T4677" s="11"/>
    </row>
    <row r="4678" spans="1:20" ht="11.85" customHeight="1" x14ac:dyDescent="0.2">
      <c r="A4678" s="3" t="s">
        <v>1850</v>
      </c>
      <c r="C4678" s="2">
        <v>0</v>
      </c>
      <c r="E4678" s="2">
        <v>0</v>
      </c>
      <c r="G4678" s="2">
        <v>2592.15</v>
      </c>
      <c r="I4678" s="2">
        <v>600</v>
      </c>
      <c r="K4678" s="2">
        <v>600</v>
      </c>
      <c r="L4678" s="9"/>
      <c r="M4678" s="2">
        <v>0</v>
      </c>
      <c r="N4678" s="9"/>
      <c r="O4678" s="2">
        <v>0</v>
      </c>
      <c r="P4678" s="9"/>
      <c r="Q4678" s="2">
        <f>M4678+O4678</f>
        <v>0</v>
      </c>
      <c r="T4678" s="11"/>
    </row>
    <row r="4679" spans="1:20" ht="11.85" customHeight="1" x14ac:dyDescent="0.2">
      <c r="A4679" s="3" t="s">
        <v>1851</v>
      </c>
      <c r="C4679" s="2">
        <v>120000</v>
      </c>
      <c r="E4679" s="2">
        <v>123996</v>
      </c>
      <c r="G4679" s="2">
        <v>126000</v>
      </c>
      <c r="I4679" s="2">
        <v>138000</v>
      </c>
      <c r="K4679" s="2">
        <v>138000</v>
      </c>
      <c r="L4679" s="9"/>
      <c r="M4679" s="2">
        <v>139000</v>
      </c>
      <c r="N4679" s="9"/>
      <c r="O4679" s="2">
        <v>0</v>
      </c>
      <c r="P4679" s="9"/>
      <c r="Q4679" s="2">
        <f>M4679+O4679</f>
        <v>139000</v>
      </c>
      <c r="T4679" s="11"/>
    </row>
    <row r="4680" spans="1:20" ht="11.85" customHeight="1" x14ac:dyDescent="0.2">
      <c r="A4680" s="3" t="s">
        <v>1852</v>
      </c>
      <c r="C4680" s="12">
        <v>66000</v>
      </c>
      <c r="E4680" s="12">
        <v>68004</v>
      </c>
      <c r="G4680" s="12">
        <v>45996</v>
      </c>
      <c r="I4680" s="12">
        <v>55000</v>
      </c>
      <c r="K4680" s="12">
        <v>55000</v>
      </c>
      <c r="L4680" s="9"/>
      <c r="M4680" s="12">
        <v>65000</v>
      </c>
      <c r="N4680" s="9"/>
      <c r="O4680" s="12">
        <v>0</v>
      </c>
      <c r="P4680" s="9"/>
      <c r="Q4680" s="12">
        <f t="shared" si="130"/>
        <v>65000</v>
      </c>
      <c r="R4680" s="9"/>
      <c r="T4680" s="11"/>
    </row>
    <row r="4681" spans="1:20" ht="11.85" customHeight="1" x14ac:dyDescent="0.2">
      <c r="A4681" s="3" t="s">
        <v>304</v>
      </c>
      <c r="C4681" s="2">
        <f>SUM(C4668:C4680)</f>
        <v>446615.49</v>
      </c>
      <c r="E4681" s="2">
        <f>SUM(E4668:E4680)</f>
        <v>466153.5</v>
      </c>
      <c r="G4681" s="2">
        <f>SUM(G4668:G4680)</f>
        <v>451718.06</v>
      </c>
      <c r="I4681" s="2">
        <f>SUM(I4668:I4680)</f>
        <v>541500</v>
      </c>
      <c r="K4681" s="2">
        <f>SUM(K4668:K4680)</f>
        <v>541500</v>
      </c>
      <c r="L4681" s="9"/>
      <c r="M4681" s="2">
        <f>SUM(M4668:M4680)</f>
        <v>738810</v>
      </c>
      <c r="N4681" s="9"/>
      <c r="O4681" s="2">
        <f>SUM(O4668:O4680)</f>
        <v>0</v>
      </c>
      <c r="P4681" s="9"/>
      <c r="Q4681" s="2">
        <f>SUM(Q4668:Q4680)</f>
        <v>738810</v>
      </c>
    </row>
    <row r="4682" spans="1:20" ht="11.85" customHeight="1" x14ac:dyDescent="0.2">
      <c r="L4682" s="9"/>
      <c r="N4682" s="9"/>
      <c r="P4682" s="9"/>
    </row>
    <row r="4683" spans="1:20" ht="11.85" customHeight="1" x14ac:dyDescent="0.2">
      <c r="A4683" s="10" t="s">
        <v>305</v>
      </c>
      <c r="L4683" s="9"/>
      <c r="N4683" s="9"/>
      <c r="P4683" s="9"/>
    </row>
    <row r="4684" spans="1:20" ht="11.85" customHeight="1" x14ac:dyDescent="0.2">
      <c r="A4684" s="3" t="s">
        <v>1853</v>
      </c>
      <c r="C4684" s="2">
        <v>1378.79</v>
      </c>
      <c r="E4684" s="2">
        <v>1350.04</v>
      </c>
      <c r="G4684" s="2">
        <v>1106.3</v>
      </c>
      <c r="I4684" s="2">
        <v>1200</v>
      </c>
      <c r="K4684" s="2">
        <f>1200+1000</f>
        <v>2200</v>
      </c>
      <c r="L4684" s="9"/>
      <c r="M4684" s="2">
        <v>1200</v>
      </c>
      <c r="N4684" s="9"/>
      <c r="O4684" s="2">
        <v>0</v>
      </c>
      <c r="P4684" s="9"/>
      <c r="Q4684" s="2">
        <f t="shared" ref="Q4684:Q4704" si="131">M4684+O4684</f>
        <v>1200</v>
      </c>
      <c r="T4684" s="11"/>
    </row>
    <row r="4685" spans="1:20" ht="11.85" customHeight="1" x14ac:dyDescent="0.2">
      <c r="A4685" s="3" t="s">
        <v>1854</v>
      </c>
      <c r="C4685" s="2">
        <v>1299.3900000000001</v>
      </c>
      <c r="E4685" s="2">
        <v>1271.99</v>
      </c>
      <c r="G4685" s="2">
        <v>651.54</v>
      </c>
      <c r="I4685" s="2">
        <v>3600</v>
      </c>
      <c r="K4685" s="2">
        <v>3600</v>
      </c>
      <c r="L4685" s="9"/>
      <c r="M4685" s="2">
        <v>3600</v>
      </c>
      <c r="N4685" s="9"/>
      <c r="O4685" s="2">
        <v>0</v>
      </c>
      <c r="P4685" s="9"/>
      <c r="Q4685" s="2">
        <f t="shared" si="131"/>
        <v>3600</v>
      </c>
      <c r="T4685" s="11"/>
    </row>
    <row r="4686" spans="1:20" ht="11.85" customHeight="1" x14ac:dyDescent="0.2">
      <c r="A4686" s="3" t="s">
        <v>1855</v>
      </c>
      <c r="C4686" s="2">
        <f>4718.66+49.32</f>
        <v>4767.9799999999996</v>
      </c>
      <c r="E4686" s="2">
        <v>6013.24</v>
      </c>
      <c r="G4686" s="2">
        <v>3839.33</v>
      </c>
      <c r="I4686" s="2">
        <v>4500</v>
      </c>
      <c r="K4686" s="2">
        <v>4500</v>
      </c>
      <c r="L4686" s="9"/>
      <c r="M4686" s="2">
        <v>4500</v>
      </c>
      <c r="N4686" s="9"/>
      <c r="O4686" s="2">
        <v>0</v>
      </c>
      <c r="P4686" s="9"/>
      <c r="Q4686" s="2">
        <f t="shared" si="131"/>
        <v>4500</v>
      </c>
      <c r="T4686" s="11"/>
    </row>
    <row r="4687" spans="1:20" ht="11.85" customHeight="1" x14ac:dyDescent="0.2">
      <c r="A4687" s="3" t="s">
        <v>1856</v>
      </c>
      <c r="C4687" s="2">
        <v>49789.34</v>
      </c>
      <c r="E4687" s="2">
        <v>76642.28</v>
      </c>
      <c r="G4687" s="2">
        <v>83586.8</v>
      </c>
      <c r="I4687" s="2">
        <v>90000</v>
      </c>
      <c r="K4687" s="2">
        <v>90000</v>
      </c>
      <c r="L4687" s="9"/>
      <c r="M4687" s="2">
        <v>90000</v>
      </c>
      <c r="N4687" s="9"/>
      <c r="O4687" s="2">
        <v>0</v>
      </c>
      <c r="P4687" s="9"/>
      <c r="Q4687" s="2">
        <f t="shared" si="131"/>
        <v>90000</v>
      </c>
      <c r="T4687" s="11"/>
    </row>
    <row r="4688" spans="1:20" ht="11.85" customHeight="1" x14ac:dyDescent="0.2">
      <c r="A4688" s="3" t="s">
        <v>1857</v>
      </c>
      <c r="C4688" s="2">
        <v>3203.44</v>
      </c>
      <c r="E4688" s="2">
        <v>3858.69</v>
      </c>
      <c r="G4688" s="2">
        <v>2771.39</v>
      </c>
      <c r="I4688" s="2">
        <v>4000</v>
      </c>
      <c r="K4688" s="2">
        <v>4000</v>
      </c>
      <c r="L4688" s="9"/>
      <c r="M4688" s="2">
        <v>4000</v>
      </c>
      <c r="N4688" s="9"/>
      <c r="O4688" s="2">
        <v>0</v>
      </c>
      <c r="P4688" s="9"/>
      <c r="Q4688" s="2">
        <f t="shared" si="131"/>
        <v>4000</v>
      </c>
      <c r="T4688" s="11"/>
    </row>
    <row r="4689" spans="1:20" ht="11.85" customHeight="1" x14ac:dyDescent="0.2">
      <c r="A4689" s="3" t="s">
        <v>1858</v>
      </c>
      <c r="C4689" s="2">
        <v>0</v>
      </c>
      <c r="E4689" s="2">
        <v>0</v>
      </c>
      <c r="G4689" s="2">
        <v>0</v>
      </c>
      <c r="I4689" s="2">
        <v>500</v>
      </c>
      <c r="K4689" s="2">
        <v>500</v>
      </c>
      <c r="L4689" s="9"/>
      <c r="M4689" s="2">
        <v>500</v>
      </c>
      <c r="N4689" s="9"/>
      <c r="O4689" s="2">
        <v>0</v>
      </c>
      <c r="P4689" s="9"/>
      <c r="Q4689" s="2">
        <f t="shared" si="131"/>
        <v>500</v>
      </c>
      <c r="T4689" s="11"/>
    </row>
    <row r="4690" spans="1:20" ht="11.85" customHeight="1" x14ac:dyDescent="0.2">
      <c r="A4690" s="3" t="s">
        <v>1859</v>
      </c>
      <c r="C4690" s="2">
        <v>74.52</v>
      </c>
      <c r="E4690" s="2">
        <v>31.96</v>
      </c>
      <c r="G4690" s="2">
        <v>73.680000000000007</v>
      </c>
      <c r="I4690" s="2">
        <v>100</v>
      </c>
      <c r="K4690" s="2">
        <v>100</v>
      </c>
      <c r="L4690" s="9"/>
      <c r="M4690" s="2">
        <v>100</v>
      </c>
      <c r="N4690" s="9"/>
      <c r="O4690" s="2">
        <v>0</v>
      </c>
      <c r="P4690" s="9"/>
      <c r="Q4690" s="2">
        <f t="shared" si="131"/>
        <v>100</v>
      </c>
      <c r="T4690" s="11"/>
    </row>
    <row r="4691" spans="1:20" ht="11.85" customHeight="1" x14ac:dyDescent="0.2">
      <c r="A4691" s="3" t="s">
        <v>1860</v>
      </c>
      <c r="C4691" s="2">
        <v>89.99</v>
      </c>
      <c r="E4691" s="2">
        <v>378.9</v>
      </c>
      <c r="G4691" s="2">
        <v>0</v>
      </c>
      <c r="I4691" s="2">
        <v>500</v>
      </c>
      <c r="K4691" s="2">
        <v>500</v>
      </c>
      <c r="L4691" s="9"/>
      <c r="M4691" s="2">
        <v>500</v>
      </c>
      <c r="N4691" s="9"/>
      <c r="O4691" s="2">
        <v>0</v>
      </c>
      <c r="P4691" s="9"/>
      <c r="Q4691" s="2">
        <f t="shared" si="131"/>
        <v>500</v>
      </c>
      <c r="T4691" s="11"/>
    </row>
    <row r="4692" spans="1:20" ht="11.85" customHeight="1" x14ac:dyDescent="0.2">
      <c r="A4692" s="3" t="s">
        <v>1861</v>
      </c>
      <c r="C4692" s="2">
        <v>36215.9</v>
      </c>
      <c r="E4692" s="2">
        <v>43160.84</v>
      </c>
      <c r="G4692" s="2">
        <v>56244.17</v>
      </c>
      <c r="I4692" s="2">
        <v>50000</v>
      </c>
      <c r="K4692" s="2">
        <f>50000+12600</f>
        <v>62600</v>
      </c>
      <c r="L4692" s="9"/>
      <c r="M4692" s="2">
        <v>50000</v>
      </c>
      <c r="N4692" s="9"/>
      <c r="O4692" s="2">
        <v>0</v>
      </c>
      <c r="P4692" s="9"/>
      <c r="Q4692" s="2">
        <f t="shared" si="131"/>
        <v>50000</v>
      </c>
      <c r="T4692" s="11"/>
    </row>
    <row r="4693" spans="1:20" ht="11.85" customHeight="1" x14ac:dyDescent="0.2">
      <c r="A4693" s="3" t="s">
        <v>1862</v>
      </c>
      <c r="C4693" s="2">
        <v>3670.68</v>
      </c>
      <c r="E4693" s="2">
        <v>3589.37</v>
      </c>
      <c r="G4693" s="2">
        <v>3970.89</v>
      </c>
      <c r="I4693" s="2">
        <v>4000</v>
      </c>
      <c r="K4693" s="2">
        <v>4000</v>
      </c>
      <c r="L4693" s="9"/>
      <c r="M4693" s="2">
        <v>4000</v>
      </c>
      <c r="N4693" s="9"/>
      <c r="O4693" s="2">
        <v>0</v>
      </c>
      <c r="P4693" s="9"/>
      <c r="Q4693" s="2">
        <f t="shared" si="131"/>
        <v>4000</v>
      </c>
      <c r="T4693" s="11"/>
    </row>
    <row r="4694" spans="1:20" ht="11.85" customHeight="1" x14ac:dyDescent="0.2">
      <c r="A4694" s="3" t="s">
        <v>1863</v>
      </c>
      <c r="C4694" s="2">
        <v>23622.2</v>
      </c>
      <c r="E4694" s="2">
        <v>17390.7</v>
      </c>
      <c r="G4694" s="2">
        <v>16625.48</v>
      </c>
      <c r="I4694" s="2">
        <v>30000</v>
      </c>
      <c r="K4694" s="2">
        <f>41160-6000-1000</f>
        <v>34160</v>
      </c>
      <c r="L4694" s="9"/>
      <c r="M4694" s="2">
        <v>30000</v>
      </c>
      <c r="N4694" s="9"/>
      <c r="O4694" s="2">
        <v>0</v>
      </c>
      <c r="P4694" s="9"/>
      <c r="Q4694" s="2">
        <f t="shared" si="131"/>
        <v>30000</v>
      </c>
      <c r="T4694" s="11"/>
    </row>
    <row r="4695" spans="1:20" ht="11.85" customHeight="1" x14ac:dyDescent="0.2">
      <c r="A4695" s="3" t="s">
        <v>1864</v>
      </c>
      <c r="C4695" s="2">
        <v>300</v>
      </c>
      <c r="E4695" s="2">
        <v>300</v>
      </c>
      <c r="G4695" s="2">
        <v>300</v>
      </c>
      <c r="I4695" s="2">
        <v>1200</v>
      </c>
      <c r="K4695" s="2">
        <v>1200</v>
      </c>
      <c r="L4695" s="9"/>
      <c r="M4695" s="2">
        <v>300</v>
      </c>
      <c r="N4695" s="9"/>
      <c r="O4695" s="2">
        <v>0</v>
      </c>
      <c r="P4695" s="9"/>
      <c r="Q4695" s="2">
        <f t="shared" si="131"/>
        <v>300</v>
      </c>
      <c r="T4695" s="11"/>
    </row>
    <row r="4696" spans="1:20" ht="11.85" customHeight="1" x14ac:dyDescent="0.2">
      <c r="A4696" s="3" t="s">
        <v>1865</v>
      </c>
      <c r="C4696" s="2">
        <v>1083.77</v>
      </c>
      <c r="E4696" s="2">
        <v>201.01</v>
      </c>
      <c r="G4696" s="2">
        <v>657.48</v>
      </c>
      <c r="I4696" s="2">
        <v>1000</v>
      </c>
      <c r="K4696" s="2">
        <v>1000</v>
      </c>
      <c r="L4696" s="9"/>
      <c r="M4696" s="2">
        <v>1000</v>
      </c>
      <c r="N4696" s="9"/>
      <c r="O4696" s="2">
        <v>0</v>
      </c>
      <c r="P4696" s="9"/>
      <c r="Q4696" s="2">
        <f t="shared" si="131"/>
        <v>1000</v>
      </c>
      <c r="T4696" s="11"/>
    </row>
    <row r="4697" spans="1:20" ht="11.85" hidden="1" customHeight="1" x14ac:dyDescent="0.2">
      <c r="A4697" s="3" t="s">
        <v>1866</v>
      </c>
      <c r="C4697" s="2">
        <v>0</v>
      </c>
      <c r="E4697" s="2">
        <v>0</v>
      </c>
      <c r="G4697" s="2">
        <v>0</v>
      </c>
      <c r="I4697" s="2">
        <v>0</v>
      </c>
      <c r="K4697" s="2">
        <v>0</v>
      </c>
      <c r="L4697" s="9"/>
      <c r="M4697" s="2">
        <v>0</v>
      </c>
      <c r="N4697" s="9"/>
      <c r="O4697" s="2">
        <v>0</v>
      </c>
      <c r="P4697" s="9"/>
      <c r="Q4697" s="2">
        <f t="shared" si="131"/>
        <v>0</v>
      </c>
      <c r="T4697" s="11"/>
    </row>
    <row r="4698" spans="1:20" ht="11.85" hidden="1" customHeight="1" x14ac:dyDescent="0.2">
      <c r="A4698" s="3" t="s">
        <v>1867</v>
      </c>
      <c r="C4698" s="2">
        <v>0</v>
      </c>
      <c r="E4698" s="2">
        <v>0</v>
      </c>
      <c r="G4698" s="2">
        <v>0</v>
      </c>
      <c r="I4698" s="2">
        <v>0</v>
      </c>
      <c r="K4698" s="2">
        <v>0</v>
      </c>
      <c r="L4698" s="9"/>
      <c r="M4698" s="2">
        <v>0</v>
      </c>
      <c r="N4698" s="9"/>
      <c r="O4698" s="2">
        <v>0</v>
      </c>
      <c r="P4698" s="9"/>
      <c r="Q4698" s="2">
        <f t="shared" si="131"/>
        <v>0</v>
      </c>
      <c r="T4698" s="11"/>
    </row>
    <row r="4699" spans="1:20" ht="11.85" customHeight="1" x14ac:dyDescent="0.2">
      <c r="A4699" s="3" t="s">
        <v>1868</v>
      </c>
      <c r="C4699" s="2">
        <v>4509.12</v>
      </c>
      <c r="E4699" s="2">
        <v>6603.57</v>
      </c>
      <c r="G4699" s="2">
        <v>4454.46</v>
      </c>
      <c r="I4699" s="2">
        <v>8000</v>
      </c>
      <c r="K4699" s="2">
        <v>8000</v>
      </c>
      <c r="L4699" s="9"/>
      <c r="M4699" s="2">
        <v>8000</v>
      </c>
      <c r="N4699" s="9"/>
      <c r="O4699" s="2">
        <v>0</v>
      </c>
      <c r="P4699" s="9"/>
      <c r="Q4699" s="2">
        <f t="shared" si="131"/>
        <v>8000</v>
      </c>
      <c r="T4699" s="11"/>
    </row>
    <row r="4700" spans="1:20" ht="11.85" customHeight="1" x14ac:dyDescent="0.2">
      <c r="A4700" s="3" t="s">
        <v>1869</v>
      </c>
      <c r="C4700" s="2">
        <v>0</v>
      </c>
      <c r="E4700" s="2">
        <v>452.56</v>
      </c>
      <c r="G4700" s="2">
        <v>0</v>
      </c>
      <c r="I4700" s="2">
        <v>100</v>
      </c>
      <c r="K4700" s="2">
        <v>100</v>
      </c>
      <c r="L4700" s="9"/>
      <c r="M4700" s="2">
        <v>100</v>
      </c>
      <c r="N4700" s="9"/>
      <c r="O4700" s="2">
        <v>0</v>
      </c>
      <c r="P4700" s="9"/>
      <c r="Q4700" s="2">
        <f t="shared" si="131"/>
        <v>100</v>
      </c>
      <c r="T4700" s="11"/>
    </row>
    <row r="4701" spans="1:20" ht="11.85" customHeight="1" x14ac:dyDescent="0.2">
      <c r="A4701" s="3" t="s">
        <v>1870</v>
      </c>
      <c r="C4701" s="2">
        <v>0</v>
      </c>
      <c r="E4701" s="2">
        <v>0</v>
      </c>
      <c r="G4701" s="2">
        <v>0</v>
      </c>
      <c r="I4701" s="2">
        <v>18000</v>
      </c>
      <c r="K4701" s="2">
        <v>18000</v>
      </c>
      <c r="L4701" s="9"/>
      <c r="M4701" s="2">
        <v>18000</v>
      </c>
      <c r="N4701" s="9"/>
      <c r="O4701" s="2">
        <v>0</v>
      </c>
      <c r="P4701" s="9"/>
      <c r="Q4701" s="2">
        <f t="shared" si="131"/>
        <v>18000</v>
      </c>
      <c r="T4701" s="11"/>
    </row>
    <row r="4702" spans="1:20" ht="11.85" customHeight="1" x14ac:dyDescent="0.2">
      <c r="A4702" s="3" t="s">
        <v>1871</v>
      </c>
      <c r="C4702" s="2">
        <v>4943.29</v>
      </c>
      <c r="E4702" s="2">
        <v>4610.53</v>
      </c>
      <c r="G4702" s="2">
        <v>5423.1</v>
      </c>
      <c r="I4702" s="2">
        <v>5000</v>
      </c>
      <c r="K4702" s="2">
        <v>5000</v>
      </c>
      <c r="L4702" s="9"/>
      <c r="M4702" s="2">
        <v>5000</v>
      </c>
      <c r="N4702" s="9"/>
      <c r="O4702" s="2">
        <v>0</v>
      </c>
      <c r="P4702" s="9"/>
      <c r="Q4702" s="2">
        <f t="shared" si="131"/>
        <v>5000</v>
      </c>
      <c r="T4702" s="11"/>
    </row>
    <row r="4703" spans="1:20" ht="11.85" customHeight="1" x14ac:dyDescent="0.2">
      <c r="A4703" s="3" t="s">
        <v>1872</v>
      </c>
      <c r="C4703" s="2">
        <v>4655</v>
      </c>
      <c r="E4703" s="2">
        <v>3532</v>
      </c>
      <c r="G4703" s="2">
        <v>3004</v>
      </c>
      <c r="I4703" s="2">
        <v>4000</v>
      </c>
      <c r="K4703" s="2">
        <v>4000</v>
      </c>
      <c r="L4703" s="9"/>
      <c r="M4703" s="2">
        <v>4000</v>
      </c>
      <c r="N4703" s="9"/>
      <c r="O4703" s="2">
        <v>0</v>
      </c>
      <c r="P4703" s="9"/>
      <c r="Q4703" s="2">
        <f t="shared" si="131"/>
        <v>4000</v>
      </c>
      <c r="T4703" s="11"/>
    </row>
    <row r="4704" spans="1:20" ht="11.85" customHeight="1" x14ac:dyDescent="0.2">
      <c r="A4704" s="3" t="s">
        <v>1873</v>
      </c>
      <c r="C4704" s="12">
        <v>5820</v>
      </c>
      <c r="E4704" s="12">
        <v>7006.5</v>
      </c>
      <c r="G4704" s="12">
        <v>9308.24</v>
      </c>
      <c r="I4704" s="12">
        <v>6730</v>
      </c>
      <c r="K4704" s="12">
        <v>6730</v>
      </c>
      <c r="L4704" s="9"/>
      <c r="M4704" s="12">
        <v>4100</v>
      </c>
      <c r="N4704" s="9"/>
      <c r="O4704" s="12">
        <v>0</v>
      </c>
      <c r="P4704" s="9"/>
      <c r="Q4704" s="12">
        <f t="shared" si="131"/>
        <v>4100</v>
      </c>
      <c r="T4704" s="11"/>
    </row>
    <row r="4705" spans="1:21" ht="11.85" customHeight="1" x14ac:dyDescent="0.2">
      <c r="A4705" s="3" t="s">
        <v>328</v>
      </c>
      <c r="C4705" s="2">
        <f>SUM(C4684:C4694)+SUM(C4695:C4704)</f>
        <v>145423.41</v>
      </c>
      <c r="E4705" s="2">
        <f>SUM(E4684:E4694)+SUM(E4695:E4704)</f>
        <v>176394.18</v>
      </c>
      <c r="G4705" s="2">
        <f>SUM(G4684:G4694)+SUM(G4695:G4704)</f>
        <v>192016.86000000002</v>
      </c>
      <c r="I4705" s="2">
        <f>SUM(I4684:I4694)+SUM(I4695:I4704)</f>
        <v>232430</v>
      </c>
      <c r="K4705" s="2">
        <f>SUM(K4684:K4694)+SUM(K4695:K4704)</f>
        <v>250190</v>
      </c>
      <c r="L4705" s="9"/>
      <c r="M4705" s="2">
        <f>SUM(M4684:M4694)+SUM(M4695:M4704)</f>
        <v>228900</v>
      </c>
      <c r="N4705" s="9"/>
      <c r="O4705" s="2">
        <f>SUM(O4684:O4694)+SUM(O4695:O4704)</f>
        <v>0</v>
      </c>
      <c r="P4705" s="9"/>
      <c r="Q4705" s="2">
        <f>SUM(Q4684:Q4694)+SUM(Q4695:Q4704)</f>
        <v>228900</v>
      </c>
      <c r="T4705" s="14"/>
      <c r="U4705" s="9"/>
    </row>
    <row r="4706" spans="1:21" ht="11.85" customHeight="1" x14ac:dyDescent="0.2"/>
    <row r="4707" spans="1:21" ht="11.85" customHeight="1" x14ac:dyDescent="0.2">
      <c r="A4707" s="3" t="s">
        <v>1874</v>
      </c>
      <c r="C4707" s="2">
        <v>0</v>
      </c>
      <c r="E4707" s="2">
        <v>0</v>
      </c>
      <c r="G4707" s="2">
        <v>0</v>
      </c>
      <c r="I4707" s="2">
        <v>0</v>
      </c>
      <c r="K4707" s="2">
        <v>0</v>
      </c>
      <c r="L4707" s="9"/>
      <c r="M4707" s="2">
        <v>0</v>
      </c>
      <c r="N4707" s="9"/>
      <c r="O4707" s="2">
        <v>0</v>
      </c>
      <c r="P4707" s="9"/>
      <c r="Q4707" s="2">
        <f>M4707+O4707</f>
        <v>0</v>
      </c>
    </row>
    <row r="4708" spans="1:21" ht="11.85" customHeight="1" x14ac:dyDescent="0.2">
      <c r="A4708" s="3" t="s">
        <v>1875</v>
      </c>
      <c r="C4708" s="12">
        <v>0</v>
      </c>
      <c r="E4708" s="12">
        <v>27734.15</v>
      </c>
      <c r="G4708" s="12">
        <v>0</v>
      </c>
      <c r="I4708" s="12">
        <v>0</v>
      </c>
      <c r="K4708" s="12">
        <v>0</v>
      </c>
      <c r="L4708" s="9"/>
      <c r="M4708" s="12">
        <v>0</v>
      </c>
      <c r="N4708" s="9"/>
      <c r="O4708" s="12">
        <v>0</v>
      </c>
      <c r="P4708" s="9"/>
      <c r="Q4708" s="12">
        <f>M4708+O4708</f>
        <v>0</v>
      </c>
    </row>
    <row r="4709" spans="1:21" ht="11.85" customHeight="1" x14ac:dyDescent="0.2">
      <c r="A4709" s="3" t="s">
        <v>331</v>
      </c>
      <c r="C4709" s="2">
        <f>SUM(C4707:C4708)</f>
        <v>0</v>
      </c>
      <c r="E4709" s="2">
        <f>SUM(E4707:E4708)</f>
        <v>27734.15</v>
      </c>
      <c r="G4709" s="2">
        <f>SUM(G4707:G4708)</f>
        <v>0</v>
      </c>
      <c r="I4709" s="2">
        <f>SUM(I4707:I4708)</f>
        <v>0</v>
      </c>
      <c r="K4709" s="2">
        <f>SUM(K4707:K4708)</f>
        <v>0</v>
      </c>
      <c r="L4709" s="9"/>
      <c r="M4709" s="2">
        <f>SUM(M4707:M4708)</f>
        <v>0</v>
      </c>
      <c r="N4709" s="9"/>
      <c r="O4709" s="2">
        <f>SUM(O4707:O4708)</f>
        <v>0</v>
      </c>
      <c r="P4709" s="9"/>
      <c r="Q4709" s="2">
        <f>SUM(Q4707:Q4708)</f>
        <v>0</v>
      </c>
    </row>
    <row r="4710" spans="1:21" ht="11.85" customHeight="1" x14ac:dyDescent="0.2">
      <c r="L4710" s="9"/>
      <c r="N4710" s="9"/>
      <c r="P4710" s="9"/>
    </row>
    <row r="4711" spans="1:21" ht="11.85" customHeight="1" x14ac:dyDescent="0.2">
      <c r="L4711" s="9"/>
      <c r="N4711" s="9"/>
      <c r="P4711" s="9"/>
    </row>
    <row r="4712" spans="1:21" ht="11.85" customHeight="1" x14ac:dyDescent="0.2">
      <c r="L4712" s="9"/>
      <c r="N4712" s="9"/>
      <c r="P4712" s="9"/>
    </row>
    <row r="4713" spans="1:21" ht="11.85" customHeight="1" x14ac:dyDescent="0.2">
      <c r="L4713" s="9"/>
      <c r="N4713" s="9"/>
      <c r="P4713" s="9"/>
    </row>
    <row r="4714" spans="1:21" ht="11.85" customHeight="1" x14ac:dyDescent="0.2">
      <c r="L4714" s="9"/>
      <c r="N4714" s="9"/>
      <c r="P4714" s="9"/>
    </row>
    <row r="4715" spans="1:21" ht="11.85" customHeight="1" x14ac:dyDescent="0.2">
      <c r="A4715" s="1"/>
      <c r="B4715" s="1"/>
      <c r="E4715" s="2" t="str">
        <f>$E$1</f>
        <v>CITY OF BRADY</v>
      </c>
    </row>
    <row r="4716" spans="1:21" ht="11.85" customHeight="1" x14ac:dyDescent="0.2">
      <c r="E4716" s="2" t="str">
        <f>$E$2</f>
        <v>BUDGET REPORT</v>
      </c>
    </row>
    <row r="4717" spans="1:21" ht="11.85" customHeight="1" x14ac:dyDescent="0.2">
      <c r="E4717" s="2" t="str">
        <f>$E$3</f>
        <v>FISCAL YEAR 2024 - 2025</v>
      </c>
    </row>
    <row r="4718" spans="1:21" ht="11.85" customHeight="1" x14ac:dyDescent="0.2">
      <c r="A4718" s="3" t="s">
        <v>1812</v>
      </c>
    </row>
    <row r="4719" spans="1:21" ht="11.85" customHeight="1" x14ac:dyDescent="0.2">
      <c r="A4719" s="3" t="s">
        <v>1830</v>
      </c>
    </row>
    <row r="4720" spans="1:21" ht="11.85" customHeight="1" x14ac:dyDescent="0.2">
      <c r="I4720" s="53" t="str">
        <f>$I$6</f>
        <v>(----- 2023-2024------)</v>
      </c>
      <c r="J4720" s="53"/>
      <c r="K4720" s="53"/>
      <c r="L4720" s="6"/>
      <c r="M4720" s="54" t="str">
        <f>$M$6</f>
        <v>2024-2025</v>
      </c>
      <c r="N4720" s="54"/>
      <c r="O4720" s="54"/>
      <c r="P4720" s="54"/>
      <c r="Q4720" s="54"/>
    </row>
    <row r="4721" spans="1:21" ht="11.85" customHeight="1" x14ac:dyDescent="0.2">
      <c r="C4721" s="5" t="str">
        <f>$C$7</f>
        <v>2020-2021</v>
      </c>
      <c r="D4721" s="5"/>
      <c r="E4721" s="5" t="str">
        <f>$E$7</f>
        <v>2021-2022</v>
      </c>
      <c r="F4721" s="5"/>
      <c r="G4721" s="5" t="str">
        <f>$G$7</f>
        <v>2022-2023</v>
      </c>
      <c r="H4721" s="5"/>
      <c r="I4721" s="5" t="s">
        <v>9</v>
      </c>
      <c r="J4721" s="5"/>
      <c r="K4721" s="5" t="str">
        <f>+$K$7</f>
        <v>PROJECTED</v>
      </c>
      <c r="L4721" s="6"/>
      <c r="M4721" s="5">
        <f>$M$7</f>
        <v>0</v>
      </c>
      <c r="N4721" s="6"/>
      <c r="O4721" s="5" t="str">
        <f>$O$7</f>
        <v>2024-2025</v>
      </c>
      <c r="P4721" s="6"/>
      <c r="Q4721" s="5" t="str">
        <f>$Q$7</f>
        <v>APPROVED</v>
      </c>
    </row>
    <row r="4722" spans="1:21" ht="11.85" customHeight="1" x14ac:dyDescent="0.2">
      <c r="A4722" s="7" t="s">
        <v>273</v>
      </c>
      <c r="C4722" s="8" t="s">
        <v>12</v>
      </c>
      <c r="D4722" s="5"/>
      <c r="E4722" s="8" t="s">
        <v>12</v>
      </c>
      <c r="F4722" s="5"/>
      <c r="G4722" s="8" t="s">
        <v>12</v>
      </c>
      <c r="H4722" s="5"/>
      <c r="I4722" s="8" t="s">
        <v>13</v>
      </c>
      <c r="J4722" s="5"/>
      <c r="K4722" s="8" t="s">
        <v>13</v>
      </c>
      <c r="L4722" s="6"/>
      <c r="M4722" s="8" t="str">
        <f>$M$8</f>
        <v>BASE</v>
      </c>
      <c r="N4722" s="6"/>
      <c r="O4722" s="8" t="str">
        <f>$O$8</f>
        <v>SUPPLEMENTAL</v>
      </c>
      <c r="P4722" s="6"/>
      <c r="Q4722" s="8" t="str">
        <f>$Q$8</f>
        <v>BUDGET</v>
      </c>
    </row>
    <row r="4723" spans="1:21" ht="11.85" customHeight="1" x14ac:dyDescent="0.2">
      <c r="L4723" s="9"/>
      <c r="N4723" s="9"/>
      <c r="P4723" s="9"/>
    </row>
    <row r="4724" spans="1:21" ht="11.85" customHeight="1" x14ac:dyDescent="0.2">
      <c r="A4724" s="10" t="s">
        <v>1016</v>
      </c>
      <c r="L4724" s="9"/>
      <c r="N4724" s="9"/>
      <c r="P4724" s="9"/>
    </row>
    <row r="4725" spans="1:21" ht="11.85" customHeight="1" x14ac:dyDescent="0.2">
      <c r="A4725" s="3" t="s">
        <v>1876</v>
      </c>
      <c r="C4725" s="2">
        <v>0</v>
      </c>
      <c r="E4725" s="2">
        <v>0</v>
      </c>
      <c r="G4725" s="2">
        <v>0</v>
      </c>
      <c r="I4725" s="2">
        <v>0</v>
      </c>
      <c r="K4725" s="2">
        <v>0</v>
      </c>
      <c r="L4725" s="9"/>
      <c r="M4725" s="2">
        <v>0</v>
      </c>
      <c r="N4725" s="9"/>
      <c r="O4725" s="2">
        <v>0</v>
      </c>
      <c r="P4725" s="9"/>
      <c r="Q4725" s="2">
        <f>M4725+O4725</f>
        <v>0</v>
      </c>
    </row>
    <row r="4726" spans="1:21" ht="11.85" customHeight="1" x14ac:dyDescent="0.2">
      <c r="A4726" s="3" t="s">
        <v>1877</v>
      </c>
      <c r="C4726" s="12">
        <v>48607.28</v>
      </c>
      <c r="E4726" s="12">
        <v>72092.160000000003</v>
      </c>
      <c r="G4726" s="12">
        <v>100497.67</v>
      </c>
      <c r="I4726" s="12">
        <v>65000</v>
      </c>
      <c r="K4726" s="12">
        <v>65000</v>
      </c>
      <c r="L4726" s="9"/>
      <c r="M4726" s="12">
        <v>80000</v>
      </c>
      <c r="N4726" s="9"/>
      <c r="O4726" s="12">
        <v>0</v>
      </c>
      <c r="P4726" s="9"/>
      <c r="Q4726" s="12">
        <f>M4726+O4726</f>
        <v>80000</v>
      </c>
      <c r="T4726" s="11"/>
    </row>
    <row r="4727" spans="1:21" ht="11.85" customHeight="1" x14ac:dyDescent="0.2">
      <c r="A4727" s="3" t="s">
        <v>1018</v>
      </c>
      <c r="C4727" s="2">
        <f>SUM(C4725:C4726)</f>
        <v>48607.28</v>
      </c>
      <c r="E4727" s="2">
        <f>SUM(E4725:E4726)</f>
        <v>72092.160000000003</v>
      </c>
      <c r="G4727" s="2">
        <f>SUM(G4725:G4726)</f>
        <v>100497.67</v>
      </c>
      <c r="I4727" s="2">
        <f>SUM(I4725:I4726)</f>
        <v>65000</v>
      </c>
      <c r="K4727" s="2">
        <f>SUM(K4725:K4726)</f>
        <v>65000</v>
      </c>
      <c r="L4727" s="9"/>
      <c r="M4727" s="2">
        <f>SUM(M4725:M4726)</f>
        <v>80000</v>
      </c>
      <c r="N4727" s="9"/>
      <c r="O4727" s="2">
        <f>SUM(O4725:O4726)</f>
        <v>0</v>
      </c>
      <c r="P4727" s="9"/>
      <c r="Q4727" s="2">
        <f>SUM(Q4725:Q4726)</f>
        <v>80000</v>
      </c>
    </row>
    <row r="4728" spans="1:21" ht="11.85" customHeight="1" x14ac:dyDescent="0.2">
      <c r="L4728" s="9"/>
      <c r="N4728" s="9"/>
      <c r="P4728" s="9"/>
    </row>
    <row r="4729" spans="1:21" ht="11.85" customHeight="1" x14ac:dyDescent="0.2">
      <c r="A4729" s="10" t="s">
        <v>332</v>
      </c>
      <c r="L4729" s="9"/>
      <c r="N4729" s="9"/>
      <c r="P4729" s="9"/>
    </row>
    <row r="4730" spans="1:21" ht="11.85" customHeight="1" x14ac:dyDescent="0.2">
      <c r="A4730" s="3" t="s">
        <v>1878</v>
      </c>
      <c r="C4730" s="2">
        <v>61151.28</v>
      </c>
      <c r="E4730" s="2">
        <v>52833.11</v>
      </c>
      <c r="G4730" s="2">
        <v>75132.759999999995</v>
      </c>
      <c r="I4730" s="2">
        <v>77720</v>
      </c>
      <c r="K4730" s="2">
        <v>77720</v>
      </c>
      <c r="L4730" s="9"/>
      <c r="M4730" s="2">
        <v>74000</v>
      </c>
      <c r="N4730" s="9"/>
      <c r="O4730" s="2">
        <v>0</v>
      </c>
      <c r="P4730" s="9"/>
      <c r="Q4730" s="2">
        <f>M4730+O4730</f>
        <v>74000</v>
      </c>
      <c r="T4730" s="11"/>
    </row>
    <row r="4731" spans="1:21" ht="11.85" customHeight="1" x14ac:dyDescent="0.2">
      <c r="A4731" s="3" t="s">
        <v>1879</v>
      </c>
      <c r="C4731" s="2">
        <v>179471</v>
      </c>
      <c r="E4731" s="2">
        <v>0</v>
      </c>
      <c r="G4731" s="2">
        <v>0</v>
      </c>
      <c r="I4731" s="2">
        <v>0</v>
      </c>
      <c r="K4731" s="2">
        <v>206527</v>
      </c>
      <c r="L4731" s="9"/>
      <c r="M4731" s="2">
        <v>250000</v>
      </c>
      <c r="N4731" s="9"/>
      <c r="O4731" s="2">
        <v>0</v>
      </c>
      <c r="P4731" s="9"/>
      <c r="Q4731" s="2">
        <f>M4731+O4731</f>
        <v>250000</v>
      </c>
    </row>
    <row r="4732" spans="1:21" ht="11.85" hidden="1" customHeight="1" x14ac:dyDescent="0.2">
      <c r="A4732" s="3" t="s">
        <v>1880</v>
      </c>
      <c r="C4732" s="2">
        <v>0</v>
      </c>
      <c r="E4732" s="2">
        <v>0</v>
      </c>
      <c r="G4732" s="2">
        <v>0</v>
      </c>
      <c r="I4732" s="2">
        <v>0</v>
      </c>
      <c r="K4732" s="2">
        <v>0</v>
      </c>
      <c r="L4732" s="9"/>
      <c r="M4732" s="2">
        <v>0</v>
      </c>
      <c r="N4732" s="9"/>
      <c r="O4732" s="2">
        <v>0</v>
      </c>
      <c r="P4732" s="9"/>
      <c r="Q4732" s="2">
        <v>0</v>
      </c>
    </row>
    <row r="4733" spans="1:21" ht="11.85" customHeight="1" x14ac:dyDescent="0.2">
      <c r="A4733" s="3" t="s">
        <v>1881</v>
      </c>
      <c r="C4733" s="2">
        <v>0</v>
      </c>
      <c r="E4733" s="2">
        <v>0</v>
      </c>
      <c r="G4733" s="2">
        <v>0</v>
      </c>
      <c r="I4733" s="2">
        <v>0</v>
      </c>
      <c r="K4733" s="2">
        <v>0</v>
      </c>
      <c r="L4733" s="9"/>
      <c r="M4733" s="2">
        <v>0</v>
      </c>
      <c r="N4733" s="9"/>
      <c r="O4733" s="2">
        <v>0</v>
      </c>
      <c r="P4733" s="9"/>
      <c r="Q4733" s="2">
        <f>M4733+O4733</f>
        <v>0</v>
      </c>
    </row>
    <row r="4734" spans="1:21" ht="11.85" customHeight="1" x14ac:dyDescent="0.2">
      <c r="A4734" s="3" t="s">
        <v>1882</v>
      </c>
      <c r="C4734" s="2">
        <v>0</v>
      </c>
      <c r="E4734" s="2">
        <v>0</v>
      </c>
      <c r="G4734" s="2">
        <v>35004</v>
      </c>
      <c r="I4734" s="2">
        <v>40000</v>
      </c>
      <c r="K4734" s="2">
        <v>40000</v>
      </c>
      <c r="L4734" s="9"/>
      <c r="M4734" s="2">
        <v>40000</v>
      </c>
      <c r="N4734" s="9"/>
      <c r="O4734" s="2">
        <v>0</v>
      </c>
      <c r="P4734" s="9"/>
      <c r="Q4734" s="2">
        <f>M4734+O4734</f>
        <v>40000</v>
      </c>
    </row>
    <row r="4735" spans="1:21" ht="11.85" customHeight="1" x14ac:dyDescent="0.2">
      <c r="A4735" s="3" t="s">
        <v>1883</v>
      </c>
      <c r="C4735" s="12">
        <v>0</v>
      </c>
      <c r="E4735" s="12">
        <v>0</v>
      </c>
      <c r="G4735" s="12">
        <v>0</v>
      </c>
      <c r="I4735" s="12">
        <v>0</v>
      </c>
      <c r="K4735" s="12">
        <v>0</v>
      </c>
      <c r="L4735" s="9"/>
      <c r="M4735" s="12">
        <v>0</v>
      </c>
      <c r="N4735" s="9"/>
      <c r="O4735" s="12">
        <v>0</v>
      </c>
      <c r="P4735" s="9"/>
      <c r="Q4735" s="12">
        <f>M4735+O4735</f>
        <v>0</v>
      </c>
      <c r="R4735" s="9"/>
    </row>
    <row r="4736" spans="1:21" ht="11.85" customHeight="1" x14ac:dyDescent="0.2">
      <c r="A4736" s="3" t="s">
        <v>336</v>
      </c>
      <c r="C4736" s="2">
        <f>SUM(C4730:C4735)</f>
        <v>240622.28</v>
      </c>
      <c r="E4736" s="2">
        <f>SUM(E4730:E4735)</f>
        <v>52833.11</v>
      </c>
      <c r="G4736" s="2">
        <f>SUM(G4730:G4735)</f>
        <v>110136.76</v>
      </c>
      <c r="I4736" s="2">
        <f>SUM(I4730:I4735)</f>
        <v>117720</v>
      </c>
      <c r="K4736" s="2">
        <f>SUM(K4730:K4735)</f>
        <v>324247</v>
      </c>
      <c r="L4736" s="9"/>
      <c r="M4736" s="2">
        <f>SUM(M4730:M4735)</f>
        <v>364000</v>
      </c>
      <c r="N4736" s="9"/>
      <c r="O4736" s="2">
        <f>SUM(O4730:O4735)</f>
        <v>0</v>
      </c>
      <c r="P4736" s="9"/>
      <c r="Q4736" s="2">
        <f>SUM(Q4730:Q4735)</f>
        <v>364000</v>
      </c>
      <c r="R4736" s="9"/>
      <c r="U4736" s="9"/>
    </row>
    <row r="4737" spans="1:21" ht="11.85" customHeight="1" x14ac:dyDescent="0.2">
      <c r="L4737" s="9"/>
      <c r="N4737" s="9"/>
      <c r="P4737" s="9"/>
      <c r="T4737" s="11"/>
    </row>
    <row r="4738" spans="1:21" ht="11.85" customHeight="1" x14ac:dyDescent="0.2">
      <c r="A4738" s="3" t="s">
        <v>1884</v>
      </c>
      <c r="C4738" s="2">
        <f>C4665+C4681+C4705+C4709+C4727+C4736</f>
        <v>1400783.92</v>
      </c>
      <c r="E4738" s="2">
        <f>E4665+E4681+E4705+E4709+E4727+E4736</f>
        <v>1280549.0699999998</v>
      </c>
      <c r="G4738" s="2">
        <f>G4665+G4681+G4705+G4709+G4727+G4736</f>
        <v>1358592.76</v>
      </c>
      <c r="I4738" s="2">
        <f>I4665+I4681+I4705+I4709+I4727+I4736</f>
        <v>1502147</v>
      </c>
      <c r="K4738" s="2">
        <f>K4665+K4681+K4705+K4709+K4727+K4736</f>
        <v>1732434</v>
      </c>
      <c r="L4738" s="9"/>
      <c r="M4738" s="2">
        <f>M4665+M4681+M4705+M4709+M4727+M4736</f>
        <v>1951715</v>
      </c>
      <c r="N4738" s="9"/>
      <c r="O4738" s="2">
        <f>O4665+O4681+O4705+O4709+O4727+O4736</f>
        <v>30633</v>
      </c>
      <c r="P4738" s="9"/>
      <c r="Q4738" s="2">
        <f>Q4665+Q4681+Q4705+Q4709+Q4727+Q4736</f>
        <v>1982348</v>
      </c>
      <c r="R4738" s="9"/>
      <c r="U4738" s="9"/>
    </row>
    <row r="4739" spans="1:21" ht="11.85" customHeight="1" x14ac:dyDescent="0.2"/>
    <row r="4740" spans="1:21" ht="11.85" customHeight="1" x14ac:dyDescent="0.2"/>
    <row r="4741" spans="1:21" ht="11.85" customHeight="1" x14ac:dyDescent="0.2"/>
    <row r="4742" spans="1:21" ht="11.85" customHeight="1" x14ac:dyDescent="0.2"/>
    <row r="4743" spans="1:21" ht="11.85" customHeight="1" x14ac:dyDescent="0.2"/>
    <row r="4744" spans="1:21" ht="11.85" customHeight="1" x14ac:dyDescent="0.2"/>
    <row r="4745" spans="1:21" ht="11.85" customHeight="1" x14ac:dyDescent="0.2"/>
    <row r="4746" spans="1:21" ht="11.85" customHeight="1" x14ac:dyDescent="0.2"/>
    <row r="4747" spans="1:21" ht="11.85" customHeight="1" x14ac:dyDescent="0.2"/>
    <row r="4748" spans="1:21" ht="11.85" customHeight="1" x14ac:dyDescent="0.2"/>
    <row r="4749" spans="1:21" ht="11.85" customHeight="1" x14ac:dyDescent="0.2"/>
    <row r="4750" spans="1:21" ht="11.85" customHeight="1" x14ac:dyDescent="0.2"/>
    <row r="4751" spans="1:21" ht="11.85" customHeight="1" x14ac:dyDescent="0.2"/>
    <row r="4752" spans="1:21" ht="11.85" customHeight="1" x14ac:dyDescent="0.2"/>
    <row r="4753" ht="11.85" customHeight="1" x14ac:dyDescent="0.2"/>
    <row r="4754" ht="11.85" customHeight="1" x14ac:dyDescent="0.2"/>
    <row r="4755" ht="11.85" customHeight="1" x14ac:dyDescent="0.2"/>
    <row r="4756" ht="11.85" customHeight="1" x14ac:dyDescent="0.2"/>
    <row r="4757" ht="11.85" customHeight="1" x14ac:dyDescent="0.2"/>
    <row r="4758" ht="11.85" customHeight="1" x14ac:dyDescent="0.2"/>
    <row r="4759" ht="11.85" customHeight="1" x14ac:dyDescent="0.2"/>
    <row r="4760" ht="11.85" customHeight="1" x14ac:dyDescent="0.2"/>
    <row r="4761" ht="11.85" customHeight="1" x14ac:dyDescent="0.2"/>
    <row r="4762" ht="11.85" customHeight="1" x14ac:dyDescent="0.2"/>
    <row r="4763" ht="11.85" customHeight="1" x14ac:dyDescent="0.2"/>
    <row r="4764" ht="11.85" customHeight="1" x14ac:dyDescent="0.2"/>
    <row r="4765" ht="11.85" customHeight="1" x14ac:dyDescent="0.2"/>
    <row r="4766" ht="11.85" customHeight="1" x14ac:dyDescent="0.2"/>
    <row r="4767" ht="11.85" customHeight="1" x14ac:dyDescent="0.2"/>
    <row r="4768" ht="11.85" customHeight="1" x14ac:dyDescent="0.2"/>
    <row r="4769" spans="1:17" ht="11.85" customHeight="1" x14ac:dyDescent="0.2"/>
    <row r="4770" spans="1:17" ht="11.85" customHeight="1" x14ac:dyDescent="0.2"/>
    <row r="4771" spans="1:17" ht="11.85" customHeight="1" x14ac:dyDescent="0.2"/>
    <row r="4772" spans="1:17" ht="11.85" customHeight="1" x14ac:dyDescent="0.2"/>
    <row r="4773" spans="1:17" ht="11.85" customHeight="1" x14ac:dyDescent="0.2"/>
    <row r="4774" spans="1:17" ht="11.85" customHeight="1" x14ac:dyDescent="0.2"/>
    <row r="4775" spans="1:17" ht="11.85" customHeight="1" x14ac:dyDescent="0.2"/>
    <row r="4776" spans="1:17" ht="11.85" customHeight="1" x14ac:dyDescent="0.2"/>
    <row r="4777" spans="1:17" ht="11.85" customHeight="1" x14ac:dyDescent="0.2"/>
    <row r="4778" spans="1:17" ht="11.85" customHeight="1" x14ac:dyDescent="0.2"/>
    <row r="4779" spans="1:17" ht="11.85" customHeight="1" x14ac:dyDescent="0.2">
      <c r="A4779" s="1"/>
      <c r="B4779" s="1"/>
      <c r="E4779" s="2" t="str">
        <f>$E$1</f>
        <v>CITY OF BRADY</v>
      </c>
    </row>
    <row r="4780" spans="1:17" ht="11.85" customHeight="1" x14ac:dyDescent="0.2">
      <c r="E4780" s="2" t="str">
        <f>$E$2</f>
        <v>BUDGET REPORT</v>
      </c>
    </row>
    <row r="4781" spans="1:17" ht="11.85" customHeight="1" x14ac:dyDescent="0.2">
      <c r="E4781" s="2" t="str">
        <f>$E$3</f>
        <v>FISCAL YEAR 2024 - 2025</v>
      </c>
    </row>
    <row r="4782" spans="1:17" ht="11.85" customHeight="1" x14ac:dyDescent="0.2">
      <c r="A4782" s="3" t="s">
        <v>1812</v>
      </c>
    </row>
    <row r="4783" spans="1:17" ht="11.85" customHeight="1" x14ac:dyDescent="0.2">
      <c r="A4783" s="3" t="s">
        <v>1885</v>
      </c>
    </row>
    <row r="4784" spans="1:17" ht="11.85" customHeight="1" x14ac:dyDescent="0.2">
      <c r="A4784" s="32" t="s">
        <v>674</v>
      </c>
      <c r="I4784" s="53" t="str">
        <f>$I$6</f>
        <v>(----- 2023-2024------)</v>
      </c>
      <c r="J4784" s="53"/>
      <c r="K4784" s="53"/>
      <c r="L4784" s="6"/>
      <c r="M4784" s="54" t="str">
        <f>$M$6</f>
        <v>2024-2025</v>
      </c>
      <c r="N4784" s="54"/>
      <c r="O4784" s="54"/>
      <c r="P4784" s="54"/>
      <c r="Q4784" s="54"/>
    </row>
    <row r="4785" spans="1:21" ht="11.85" customHeight="1" x14ac:dyDescent="0.2">
      <c r="C4785" s="5" t="str">
        <f>$C$7</f>
        <v>2020-2021</v>
      </c>
      <c r="D4785" s="5"/>
      <c r="E4785" s="5" t="str">
        <f>$E$7</f>
        <v>2021-2022</v>
      </c>
      <c r="F4785" s="5"/>
      <c r="G4785" s="5" t="str">
        <f>$G$7</f>
        <v>2022-2023</v>
      </c>
      <c r="H4785" s="5"/>
      <c r="I4785" s="5" t="s">
        <v>9</v>
      </c>
      <c r="J4785" s="5"/>
      <c r="K4785" s="5" t="str">
        <f>+$K$7</f>
        <v>PROJECTED</v>
      </c>
      <c r="L4785" s="6"/>
      <c r="M4785" s="5">
        <f>$M$7</f>
        <v>0</v>
      </c>
      <c r="N4785" s="6"/>
      <c r="O4785" s="5" t="str">
        <f>$O$7</f>
        <v>2024-2025</v>
      </c>
      <c r="P4785" s="6"/>
      <c r="Q4785" s="5" t="str">
        <f>$Q$7</f>
        <v>APPROVED</v>
      </c>
    </row>
    <row r="4786" spans="1:21" ht="11.85" customHeight="1" x14ac:dyDescent="0.2">
      <c r="A4786" s="7" t="s">
        <v>273</v>
      </c>
      <c r="C4786" s="8" t="s">
        <v>12</v>
      </c>
      <c r="D4786" s="5"/>
      <c r="E4786" s="8" t="s">
        <v>12</v>
      </c>
      <c r="F4786" s="5"/>
      <c r="G4786" s="8" t="s">
        <v>12</v>
      </c>
      <c r="H4786" s="5"/>
      <c r="I4786" s="8" t="s">
        <v>13</v>
      </c>
      <c r="J4786" s="5"/>
      <c r="K4786" s="8" t="s">
        <v>13</v>
      </c>
      <c r="L4786" s="6"/>
      <c r="M4786" s="8" t="str">
        <f>$M$8</f>
        <v>BASE</v>
      </c>
      <c r="N4786" s="6"/>
      <c r="O4786" s="8" t="str">
        <f>$O$8</f>
        <v>SUPPLEMENTAL</v>
      </c>
      <c r="P4786" s="6"/>
      <c r="Q4786" s="8" t="str">
        <f>$Q$8</f>
        <v>BUDGET</v>
      </c>
    </row>
    <row r="4787" spans="1:21" ht="11.85" customHeight="1" x14ac:dyDescent="0.2"/>
    <row r="4788" spans="1:21" ht="11.85" customHeight="1" x14ac:dyDescent="0.2">
      <c r="A4788" s="10" t="s">
        <v>274</v>
      </c>
    </row>
    <row r="4789" spans="1:21" ht="11.85" customHeight="1" x14ac:dyDescent="0.2">
      <c r="A4789" s="3" t="s">
        <v>1886</v>
      </c>
      <c r="C4789" s="2">
        <v>0</v>
      </c>
      <c r="E4789" s="2">
        <v>0</v>
      </c>
      <c r="G4789" s="2">
        <v>0</v>
      </c>
      <c r="I4789" s="2">
        <v>0</v>
      </c>
      <c r="K4789" s="2">
        <v>0</v>
      </c>
      <c r="L4789" s="9"/>
      <c r="M4789" s="2">
        <v>0</v>
      </c>
      <c r="N4789" s="9"/>
      <c r="O4789" s="2">
        <v>0</v>
      </c>
      <c r="P4789" s="9"/>
      <c r="Q4789" s="2">
        <f t="shared" ref="Q4789:Q4795" si="132">M4789+O4789</f>
        <v>0</v>
      </c>
      <c r="T4789" s="11"/>
    </row>
    <row r="4790" spans="1:21" ht="11.85" customHeight="1" x14ac:dyDescent="0.2">
      <c r="A4790" s="3" t="s">
        <v>1887</v>
      </c>
      <c r="C4790" s="2">
        <v>0</v>
      </c>
      <c r="E4790" s="2">
        <v>0</v>
      </c>
      <c r="G4790" s="2">
        <v>0</v>
      </c>
      <c r="I4790" s="2">
        <v>0</v>
      </c>
      <c r="K4790" s="2">
        <v>0</v>
      </c>
      <c r="L4790" s="9"/>
      <c r="M4790" s="2">
        <v>0</v>
      </c>
      <c r="N4790" s="9"/>
      <c r="O4790" s="2">
        <v>0</v>
      </c>
      <c r="P4790" s="9"/>
      <c r="Q4790" s="2">
        <f t="shared" si="132"/>
        <v>0</v>
      </c>
      <c r="T4790" s="11"/>
    </row>
    <row r="4791" spans="1:21" ht="11.85" customHeight="1" x14ac:dyDescent="0.2">
      <c r="A4791" s="3" t="s">
        <v>1888</v>
      </c>
      <c r="C4791" s="2">
        <v>0</v>
      </c>
      <c r="E4791" s="2">
        <v>0</v>
      </c>
      <c r="G4791" s="2">
        <v>0</v>
      </c>
      <c r="I4791" s="2">
        <v>0</v>
      </c>
      <c r="K4791" s="2">
        <v>0</v>
      </c>
      <c r="L4791" s="9"/>
      <c r="M4791" s="2">
        <v>0</v>
      </c>
      <c r="N4791" s="9"/>
      <c r="O4791" s="2">
        <v>0</v>
      </c>
      <c r="P4791" s="9"/>
      <c r="Q4791" s="2">
        <f t="shared" si="132"/>
        <v>0</v>
      </c>
      <c r="T4791" s="11"/>
    </row>
    <row r="4792" spans="1:21" ht="11.85" customHeight="1" x14ac:dyDescent="0.2">
      <c r="A4792" s="3" t="s">
        <v>1889</v>
      </c>
      <c r="C4792" s="2">
        <v>0</v>
      </c>
      <c r="E4792" s="2">
        <v>0</v>
      </c>
      <c r="G4792" s="2">
        <v>0</v>
      </c>
      <c r="I4792" s="2">
        <v>0</v>
      </c>
      <c r="K4792" s="2">
        <v>0</v>
      </c>
      <c r="L4792" s="9"/>
      <c r="M4792" s="2">
        <v>0</v>
      </c>
      <c r="N4792" s="9"/>
      <c r="O4792" s="2">
        <v>0</v>
      </c>
      <c r="P4792" s="9"/>
      <c r="Q4792" s="2">
        <f t="shared" si="132"/>
        <v>0</v>
      </c>
      <c r="T4792" s="11"/>
    </row>
    <row r="4793" spans="1:21" ht="11.85" customHeight="1" x14ac:dyDescent="0.2">
      <c r="A4793" s="3" t="s">
        <v>1890</v>
      </c>
      <c r="C4793" s="2">
        <v>0</v>
      </c>
      <c r="E4793" s="2">
        <v>0</v>
      </c>
      <c r="G4793" s="2">
        <v>0</v>
      </c>
      <c r="I4793" s="2">
        <v>0</v>
      </c>
      <c r="K4793" s="2">
        <v>0</v>
      </c>
      <c r="L4793" s="9"/>
      <c r="M4793" s="2">
        <v>0</v>
      </c>
      <c r="N4793" s="9"/>
      <c r="O4793" s="2">
        <v>0</v>
      </c>
      <c r="P4793" s="9"/>
      <c r="Q4793" s="2">
        <f t="shared" si="132"/>
        <v>0</v>
      </c>
      <c r="T4793" s="11"/>
    </row>
    <row r="4794" spans="1:21" ht="11.85" customHeight="1" x14ac:dyDescent="0.2">
      <c r="A4794" s="3" t="s">
        <v>1891</v>
      </c>
      <c r="C4794" s="2">
        <v>0</v>
      </c>
      <c r="E4794" s="2">
        <v>0</v>
      </c>
      <c r="G4794" s="2">
        <v>0</v>
      </c>
      <c r="I4794" s="2">
        <v>0</v>
      </c>
      <c r="K4794" s="2">
        <v>0</v>
      </c>
      <c r="L4794" s="9"/>
      <c r="M4794" s="2">
        <v>0</v>
      </c>
      <c r="N4794" s="9"/>
      <c r="O4794" s="2">
        <v>0</v>
      </c>
      <c r="P4794" s="9"/>
      <c r="Q4794" s="2">
        <f t="shared" si="132"/>
        <v>0</v>
      </c>
      <c r="T4794" s="11"/>
    </row>
    <row r="4795" spans="1:21" ht="11.85" customHeight="1" x14ac:dyDescent="0.2">
      <c r="A4795" s="3" t="s">
        <v>1892</v>
      </c>
      <c r="C4795" s="12">
        <v>0</v>
      </c>
      <c r="E4795" s="12">
        <v>0</v>
      </c>
      <c r="G4795" s="12">
        <v>0</v>
      </c>
      <c r="I4795" s="12">
        <v>0</v>
      </c>
      <c r="K4795" s="12">
        <v>0</v>
      </c>
      <c r="L4795" s="9"/>
      <c r="M4795" s="12">
        <v>0</v>
      </c>
      <c r="N4795" s="9"/>
      <c r="O4795" s="12">
        <v>0</v>
      </c>
      <c r="P4795" s="9"/>
      <c r="Q4795" s="12">
        <f t="shared" si="132"/>
        <v>0</v>
      </c>
      <c r="T4795" s="11"/>
    </row>
    <row r="4796" spans="1:21" ht="11.85" customHeight="1" x14ac:dyDescent="0.2">
      <c r="A4796" s="3" t="s">
        <v>285</v>
      </c>
      <c r="C4796" s="2">
        <f>SUM(C4789:C4795)</f>
        <v>0</v>
      </c>
      <c r="E4796" s="2">
        <f>SUM(E4789:E4795)</f>
        <v>0</v>
      </c>
      <c r="G4796" s="2">
        <f>SUM(G4789:G4795)</f>
        <v>0</v>
      </c>
      <c r="I4796" s="2">
        <f>SUM(I4789:I4795)</f>
        <v>0</v>
      </c>
      <c r="K4796" s="2">
        <f>SUM(K4789:K4795)</f>
        <v>0</v>
      </c>
      <c r="L4796" s="9"/>
      <c r="M4796" s="2">
        <f>SUM(M4789:M4795)</f>
        <v>0</v>
      </c>
      <c r="N4796" s="9"/>
      <c r="O4796" s="2">
        <f>SUM(O4789:O4795)</f>
        <v>0</v>
      </c>
      <c r="P4796" s="9"/>
      <c r="Q4796" s="2">
        <f>SUM(Q4789:Q4795)</f>
        <v>0</v>
      </c>
      <c r="U4796" s="9"/>
    </row>
    <row r="4797" spans="1:21" ht="11.85" customHeight="1" x14ac:dyDescent="0.2">
      <c r="L4797" s="9"/>
      <c r="N4797" s="9"/>
      <c r="P4797" s="9"/>
    </row>
    <row r="4798" spans="1:21" ht="11.85" customHeight="1" x14ac:dyDescent="0.2">
      <c r="A4798" s="10" t="s">
        <v>286</v>
      </c>
      <c r="L4798" s="9"/>
      <c r="N4798" s="9"/>
      <c r="P4798" s="9"/>
    </row>
    <row r="4799" spans="1:21" ht="11.85" customHeight="1" x14ac:dyDescent="0.2">
      <c r="A4799" s="3" t="s">
        <v>1893</v>
      </c>
      <c r="C4799" s="12">
        <v>0</v>
      </c>
      <c r="E4799" s="12">
        <v>0</v>
      </c>
      <c r="G4799" s="12">
        <v>0</v>
      </c>
      <c r="I4799" s="12">
        <v>0</v>
      </c>
      <c r="K4799" s="12">
        <v>0</v>
      </c>
      <c r="L4799" s="9"/>
      <c r="M4799" s="12">
        <v>0</v>
      </c>
      <c r="N4799" s="9"/>
      <c r="O4799" s="12">
        <v>0</v>
      </c>
      <c r="P4799" s="9"/>
      <c r="Q4799" s="12">
        <f>+M4799+O4799</f>
        <v>0</v>
      </c>
    </row>
    <row r="4800" spans="1:21" ht="11.85" customHeight="1" x14ac:dyDescent="0.2">
      <c r="A4800" s="3" t="s">
        <v>304</v>
      </c>
      <c r="C4800" s="2">
        <f>+C4799</f>
        <v>0</v>
      </c>
      <c r="E4800" s="2">
        <f>+E4799</f>
        <v>0</v>
      </c>
      <c r="G4800" s="2">
        <f>+G4799</f>
        <v>0</v>
      </c>
      <c r="I4800" s="2">
        <f>+I4799</f>
        <v>0</v>
      </c>
      <c r="K4800" s="2">
        <f>+K4799</f>
        <v>0</v>
      </c>
      <c r="L4800" s="9"/>
      <c r="M4800" s="2">
        <f>+M4799</f>
        <v>0</v>
      </c>
      <c r="N4800" s="9"/>
      <c r="O4800" s="2">
        <f>+O4799</f>
        <v>0</v>
      </c>
      <c r="P4800" s="9"/>
      <c r="Q4800" s="2">
        <f>+Q4799</f>
        <v>0</v>
      </c>
    </row>
    <row r="4801" spans="1:20" ht="11.85" customHeight="1" x14ac:dyDescent="0.2">
      <c r="L4801" s="9"/>
      <c r="N4801" s="9"/>
      <c r="P4801" s="9"/>
    </row>
    <row r="4802" spans="1:20" ht="11.85" customHeight="1" x14ac:dyDescent="0.2">
      <c r="A4802" s="10" t="s">
        <v>305</v>
      </c>
      <c r="L4802" s="9"/>
      <c r="N4802" s="9"/>
      <c r="P4802" s="9"/>
    </row>
    <row r="4803" spans="1:20" ht="11.85" customHeight="1" x14ac:dyDescent="0.2">
      <c r="A4803" s="3" t="s">
        <v>1894</v>
      </c>
      <c r="C4803" s="2">
        <v>0</v>
      </c>
      <c r="E4803" s="2">
        <v>0</v>
      </c>
      <c r="G4803" s="2">
        <v>0</v>
      </c>
      <c r="I4803" s="2">
        <v>0</v>
      </c>
      <c r="K4803" s="2">
        <v>0</v>
      </c>
      <c r="L4803" s="9"/>
      <c r="M4803" s="2">
        <v>0</v>
      </c>
      <c r="N4803" s="9"/>
      <c r="O4803" s="2">
        <v>0</v>
      </c>
      <c r="P4803" s="9"/>
      <c r="Q4803" s="2">
        <f t="shared" ref="Q4803:Q4813" si="133">M4803+O4803</f>
        <v>0</v>
      </c>
      <c r="T4803" s="11"/>
    </row>
    <row r="4804" spans="1:20" ht="11.85" customHeight="1" x14ac:dyDescent="0.2">
      <c r="A4804" s="3" t="s">
        <v>1895</v>
      </c>
      <c r="C4804" s="2">
        <v>0</v>
      </c>
      <c r="E4804" s="2">
        <v>0</v>
      </c>
      <c r="G4804" s="2">
        <v>0</v>
      </c>
      <c r="I4804" s="2">
        <v>0</v>
      </c>
      <c r="K4804" s="2">
        <v>0</v>
      </c>
      <c r="L4804" s="9"/>
      <c r="M4804" s="2">
        <v>0</v>
      </c>
      <c r="N4804" s="9"/>
      <c r="O4804" s="2">
        <v>0</v>
      </c>
      <c r="P4804" s="9"/>
      <c r="Q4804" s="2">
        <f>M4804+O4804</f>
        <v>0</v>
      </c>
      <c r="T4804" s="11"/>
    </row>
    <row r="4805" spans="1:20" ht="11.85" customHeight="1" x14ac:dyDescent="0.2">
      <c r="A4805" s="3" t="s">
        <v>1896</v>
      </c>
      <c r="C4805" s="2">
        <v>0</v>
      </c>
      <c r="E4805" s="2">
        <v>0</v>
      </c>
      <c r="G4805" s="2">
        <v>0</v>
      </c>
      <c r="I4805" s="2">
        <v>0</v>
      </c>
      <c r="K4805" s="2">
        <v>0</v>
      </c>
      <c r="L4805" s="9"/>
      <c r="M4805" s="2">
        <v>0</v>
      </c>
      <c r="N4805" s="9"/>
      <c r="O4805" s="2">
        <v>0</v>
      </c>
      <c r="P4805" s="9"/>
      <c r="Q4805" s="2">
        <f t="shared" si="133"/>
        <v>0</v>
      </c>
      <c r="T4805" s="11"/>
    </row>
    <row r="4806" spans="1:20" ht="11.85" customHeight="1" x14ac:dyDescent="0.2">
      <c r="A4806" s="3" t="s">
        <v>1897</v>
      </c>
      <c r="C4806" s="2">
        <v>0</v>
      </c>
      <c r="E4806" s="2">
        <v>0</v>
      </c>
      <c r="G4806" s="2">
        <v>0</v>
      </c>
      <c r="I4806" s="2">
        <v>0</v>
      </c>
      <c r="K4806" s="2">
        <v>0</v>
      </c>
      <c r="L4806" s="9"/>
      <c r="M4806" s="2">
        <v>0</v>
      </c>
      <c r="N4806" s="9"/>
      <c r="O4806" s="2">
        <v>0</v>
      </c>
      <c r="P4806" s="9"/>
      <c r="Q4806" s="2">
        <f t="shared" si="133"/>
        <v>0</v>
      </c>
      <c r="T4806" s="11"/>
    </row>
    <row r="4807" spans="1:20" ht="11.85" customHeight="1" x14ac:dyDescent="0.2">
      <c r="A4807" s="3" t="s">
        <v>1898</v>
      </c>
      <c r="C4807" s="2">
        <v>0</v>
      </c>
      <c r="E4807" s="2">
        <v>0</v>
      </c>
      <c r="G4807" s="2">
        <v>0</v>
      </c>
      <c r="I4807" s="2">
        <v>0</v>
      </c>
      <c r="K4807" s="2">
        <v>0</v>
      </c>
      <c r="L4807" s="9"/>
      <c r="M4807" s="2">
        <v>0</v>
      </c>
      <c r="N4807" s="9"/>
      <c r="O4807" s="2">
        <v>0</v>
      </c>
      <c r="P4807" s="9"/>
      <c r="Q4807" s="2">
        <f t="shared" si="133"/>
        <v>0</v>
      </c>
      <c r="T4807" s="11"/>
    </row>
    <row r="4808" spans="1:20" ht="11.85" customHeight="1" x14ac:dyDescent="0.2">
      <c r="A4808" s="3" t="s">
        <v>1899</v>
      </c>
      <c r="C4808" s="2">
        <v>0</v>
      </c>
      <c r="E4808" s="2">
        <v>0</v>
      </c>
      <c r="G4808" s="2">
        <v>0</v>
      </c>
      <c r="I4808" s="2">
        <v>0</v>
      </c>
      <c r="K4808" s="2">
        <v>0</v>
      </c>
      <c r="L4808" s="9"/>
      <c r="M4808" s="2">
        <v>0</v>
      </c>
      <c r="N4808" s="9"/>
      <c r="O4808" s="2">
        <v>0</v>
      </c>
      <c r="P4808" s="9"/>
      <c r="Q4808" s="2">
        <f t="shared" si="133"/>
        <v>0</v>
      </c>
      <c r="T4808" s="11"/>
    </row>
    <row r="4809" spans="1:20" ht="11.85" customHeight="1" x14ac:dyDescent="0.2">
      <c r="A4809" s="3" t="s">
        <v>1900</v>
      </c>
      <c r="C4809" s="2">
        <v>0</v>
      </c>
      <c r="E4809" s="2">
        <v>0</v>
      </c>
      <c r="G4809" s="2">
        <v>0</v>
      </c>
      <c r="I4809" s="2">
        <v>0</v>
      </c>
      <c r="K4809" s="2">
        <v>0</v>
      </c>
      <c r="L4809" s="9"/>
      <c r="M4809" s="2">
        <v>0</v>
      </c>
      <c r="N4809" s="9"/>
      <c r="O4809" s="2">
        <v>0</v>
      </c>
      <c r="P4809" s="9"/>
      <c r="Q4809" s="2">
        <f t="shared" si="133"/>
        <v>0</v>
      </c>
      <c r="T4809" s="11"/>
    </row>
    <row r="4810" spans="1:20" ht="11.85" customHeight="1" x14ac:dyDescent="0.2">
      <c r="A4810" s="3" t="s">
        <v>1901</v>
      </c>
      <c r="C4810" s="2">
        <v>0</v>
      </c>
      <c r="E4810" s="2">
        <v>0</v>
      </c>
      <c r="G4810" s="2">
        <v>0</v>
      </c>
      <c r="I4810" s="2">
        <v>0</v>
      </c>
      <c r="K4810" s="2">
        <v>0</v>
      </c>
      <c r="L4810" s="9"/>
      <c r="M4810" s="2">
        <v>0</v>
      </c>
      <c r="N4810" s="9"/>
      <c r="O4810" s="2">
        <v>0</v>
      </c>
      <c r="P4810" s="9"/>
      <c r="Q4810" s="2">
        <f t="shared" si="133"/>
        <v>0</v>
      </c>
      <c r="T4810" s="11"/>
    </row>
    <row r="4811" spans="1:20" ht="11.85" customHeight="1" x14ac:dyDescent="0.2">
      <c r="A4811" s="3" t="s">
        <v>1902</v>
      </c>
      <c r="C4811" s="2">
        <v>0</v>
      </c>
      <c r="E4811" s="2">
        <v>0</v>
      </c>
      <c r="G4811" s="2">
        <v>0</v>
      </c>
      <c r="I4811" s="2">
        <v>0</v>
      </c>
      <c r="K4811" s="2">
        <v>0</v>
      </c>
      <c r="L4811" s="9"/>
      <c r="M4811" s="2">
        <v>0</v>
      </c>
      <c r="N4811" s="9"/>
      <c r="O4811" s="2">
        <v>0</v>
      </c>
      <c r="P4811" s="9"/>
      <c r="Q4811" s="2">
        <f t="shared" si="133"/>
        <v>0</v>
      </c>
      <c r="T4811" s="11"/>
    </row>
    <row r="4812" spans="1:20" ht="11.85" customHeight="1" x14ac:dyDescent="0.2">
      <c r="A4812" s="3" t="s">
        <v>1903</v>
      </c>
      <c r="C4812" s="2">
        <v>0</v>
      </c>
      <c r="E4812" s="2">
        <v>0</v>
      </c>
      <c r="G4812" s="2">
        <v>0</v>
      </c>
      <c r="I4812" s="2">
        <v>0</v>
      </c>
      <c r="K4812" s="2">
        <v>0</v>
      </c>
      <c r="L4812" s="9"/>
      <c r="M4812" s="2">
        <v>0</v>
      </c>
      <c r="N4812" s="9"/>
      <c r="O4812" s="2">
        <v>0</v>
      </c>
      <c r="P4812" s="9"/>
      <c r="Q4812" s="2">
        <f t="shared" si="133"/>
        <v>0</v>
      </c>
      <c r="T4812" s="11"/>
    </row>
    <row r="4813" spans="1:20" ht="11.85" customHeight="1" x14ac:dyDescent="0.2">
      <c r="A4813" s="3" t="s">
        <v>1904</v>
      </c>
      <c r="C4813" s="12">
        <v>0</v>
      </c>
      <c r="E4813" s="12">
        <v>0</v>
      </c>
      <c r="G4813" s="12">
        <v>0</v>
      </c>
      <c r="I4813" s="12">
        <v>0</v>
      </c>
      <c r="K4813" s="12">
        <v>0</v>
      </c>
      <c r="L4813" s="9"/>
      <c r="M4813" s="12">
        <v>0</v>
      </c>
      <c r="N4813" s="9"/>
      <c r="O4813" s="12">
        <v>0</v>
      </c>
      <c r="P4813" s="9"/>
      <c r="Q4813" s="12">
        <f t="shared" si="133"/>
        <v>0</v>
      </c>
      <c r="T4813" s="11"/>
    </row>
    <row r="4814" spans="1:20" ht="11.85" customHeight="1" x14ac:dyDescent="0.2">
      <c r="A4814" s="3" t="s">
        <v>328</v>
      </c>
      <c r="C4814" s="2">
        <f>SUM(C4803:C4813)</f>
        <v>0</v>
      </c>
      <c r="E4814" s="2">
        <f>SUM(E4803:E4813)</f>
        <v>0</v>
      </c>
      <c r="G4814" s="2">
        <f>SUM(G4803:G4813)</f>
        <v>0</v>
      </c>
      <c r="I4814" s="2">
        <f>SUM(I4803:I4813)</f>
        <v>0</v>
      </c>
      <c r="K4814" s="2">
        <f>SUM(K4803:K4813)</f>
        <v>0</v>
      </c>
      <c r="L4814" s="9"/>
      <c r="M4814" s="2">
        <f>SUM(M4803:M4813)</f>
        <v>0</v>
      </c>
      <c r="N4814" s="9"/>
      <c r="O4814" s="2">
        <f>SUM(O4803:O4813)</f>
        <v>0</v>
      </c>
      <c r="P4814" s="9"/>
      <c r="Q4814" s="2">
        <f>SUM(Q4803:Q4813)</f>
        <v>0</v>
      </c>
    </row>
    <row r="4815" spans="1:20" ht="11.85" customHeight="1" x14ac:dyDescent="0.2">
      <c r="L4815" s="9"/>
      <c r="N4815" s="9"/>
      <c r="P4815" s="9"/>
    </row>
    <row r="4816" spans="1:20" ht="11.85" customHeight="1" x14ac:dyDescent="0.2">
      <c r="A4816" s="3" t="s">
        <v>1905</v>
      </c>
      <c r="C4816" s="2">
        <v>0</v>
      </c>
      <c r="E4816" s="2">
        <v>0</v>
      </c>
      <c r="G4816" s="2">
        <v>0</v>
      </c>
      <c r="I4816" s="2">
        <v>0</v>
      </c>
      <c r="K4816" s="2">
        <v>0</v>
      </c>
      <c r="L4816" s="9"/>
      <c r="M4816" s="2">
        <v>0</v>
      </c>
      <c r="N4816" s="9"/>
      <c r="O4816" s="2">
        <v>0</v>
      </c>
      <c r="P4816" s="9"/>
      <c r="Q4816" s="2">
        <f>M4816+O4816</f>
        <v>0</v>
      </c>
    </row>
    <row r="4817" spans="1:21" ht="11.85" customHeight="1" x14ac:dyDescent="0.2">
      <c r="A4817" s="3" t="s">
        <v>1906</v>
      </c>
      <c r="C4817" s="12">
        <v>0</v>
      </c>
      <c r="E4817" s="12">
        <v>0</v>
      </c>
      <c r="G4817" s="12">
        <v>0</v>
      </c>
      <c r="I4817" s="12">
        <v>0</v>
      </c>
      <c r="K4817" s="12">
        <v>0</v>
      </c>
      <c r="L4817" s="9"/>
      <c r="M4817" s="12">
        <v>0</v>
      </c>
      <c r="N4817" s="9"/>
      <c r="O4817" s="12">
        <v>0</v>
      </c>
      <c r="P4817" s="9"/>
      <c r="Q4817" s="12">
        <f>M4817+O4817</f>
        <v>0</v>
      </c>
    </row>
    <row r="4818" spans="1:21" ht="11.85" customHeight="1" x14ac:dyDescent="0.2">
      <c r="A4818" s="3" t="s">
        <v>331</v>
      </c>
      <c r="C4818" s="2">
        <f>SUM(C4816:C4817)</f>
        <v>0</v>
      </c>
      <c r="E4818" s="2">
        <f>SUM(E4816:E4817)</f>
        <v>0</v>
      </c>
      <c r="G4818" s="2">
        <f>SUM(G4816:G4817)</f>
        <v>0</v>
      </c>
      <c r="I4818" s="2">
        <f>SUM(I4816:I4817)</f>
        <v>0</v>
      </c>
      <c r="K4818" s="2">
        <f>SUM(K4816:K4817)</f>
        <v>0</v>
      </c>
      <c r="L4818" s="9"/>
      <c r="M4818" s="2">
        <f>SUM(M4816:M4817)</f>
        <v>0</v>
      </c>
      <c r="N4818" s="9"/>
      <c r="O4818" s="2">
        <f>SUM(O4816:O4817)</f>
        <v>0</v>
      </c>
      <c r="P4818" s="9"/>
      <c r="Q4818" s="2">
        <f>SUM(Q4816:Q4817)</f>
        <v>0</v>
      </c>
    </row>
    <row r="4819" spans="1:21" ht="11.85" customHeight="1" x14ac:dyDescent="0.2">
      <c r="L4819" s="9"/>
      <c r="N4819" s="9"/>
      <c r="P4819" s="9"/>
    </row>
    <row r="4820" spans="1:21" ht="11.85" customHeight="1" x14ac:dyDescent="0.2">
      <c r="A4820" s="10" t="s">
        <v>332</v>
      </c>
      <c r="L4820" s="9"/>
      <c r="N4820" s="9"/>
      <c r="P4820" s="9"/>
    </row>
    <row r="4821" spans="1:21" ht="11.85" customHeight="1" x14ac:dyDescent="0.2">
      <c r="A4821" s="3" t="s">
        <v>1907</v>
      </c>
      <c r="C4821" s="2">
        <v>0</v>
      </c>
      <c r="E4821" s="2">
        <v>0</v>
      </c>
      <c r="G4821" s="2">
        <v>0</v>
      </c>
      <c r="I4821" s="2">
        <v>0</v>
      </c>
      <c r="K4821" s="2">
        <v>0</v>
      </c>
      <c r="L4821" s="9"/>
      <c r="M4821" s="2">
        <v>0</v>
      </c>
      <c r="N4821" s="9"/>
      <c r="O4821" s="2">
        <v>0</v>
      </c>
      <c r="P4821" s="9"/>
      <c r="Q4821" s="2">
        <f>M4821+O4821</f>
        <v>0</v>
      </c>
      <c r="T4821" s="11"/>
    </row>
    <row r="4822" spans="1:21" ht="11.85" customHeight="1" x14ac:dyDescent="0.2">
      <c r="A4822" s="3" t="s">
        <v>1908</v>
      </c>
      <c r="C4822" s="2">
        <v>0</v>
      </c>
      <c r="E4822" s="2">
        <v>0</v>
      </c>
      <c r="G4822" s="2">
        <v>0</v>
      </c>
      <c r="I4822" s="2">
        <v>0</v>
      </c>
      <c r="K4822" s="2">
        <v>0</v>
      </c>
      <c r="L4822" s="9"/>
      <c r="M4822" s="2">
        <v>0</v>
      </c>
      <c r="N4822" s="9"/>
      <c r="O4822" s="2">
        <v>0</v>
      </c>
      <c r="P4822" s="9"/>
      <c r="Q4822" s="2">
        <f>M4822+O4822</f>
        <v>0</v>
      </c>
      <c r="T4822" s="11"/>
    </row>
    <row r="4823" spans="1:21" ht="11.85" customHeight="1" x14ac:dyDescent="0.2">
      <c r="A4823" s="3" t="s">
        <v>1909</v>
      </c>
      <c r="C4823" s="12">
        <v>0</v>
      </c>
      <c r="E4823" s="12">
        <v>0</v>
      </c>
      <c r="G4823" s="12">
        <v>0</v>
      </c>
      <c r="I4823" s="12">
        <v>0</v>
      </c>
      <c r="K4823" s="12">
        <v>0</v>
      </c>
      <c r="L4823" s="9"/>
      <c r="M4823" s="12">
        <v>0</v>
      </c>
      <c r="N4823" s="9"/>
      <c r="O4823" s="12">
        <v>0</v>
      </c>
      <c r="P4823" s="9"/>
      <c r="Q4823" s="12">
        <f>M4823+O4823</f>
        <v>0</v>
      </c>
    </row>
    <row r="4824" spans="1:21" ht="11.85" customHeight="1" x14ac:dyDescent="0.2">
      <c r="A4824" s="3" t="s">
        <v>336</v>
      </c>
      <c r="C4824" s="2">
        <f>SUM(C4821:C4823)</f>
        <v>0</v>
      </c>
      <c r="E4824" s="2">
        <f>SUM(E4821:E4823)</f>
        <v>0</v>
      </c>
      <c r="G4824" s="2">
        <f>SUM(G4821:G4823)</f>
        <v>0</v>
      </c>
      <c r="I4824" s="2">
        <f>SUM(I4821:I4823)</f>
        <v>0</v>
      </c>
      <c r="K4824" s="2">
        <f>SUM(K4821:K4823)</f>
        <v>0</v>
      </c>
      <c r="L4824" s="9"/>
      <c r="M4824" s="2">
        <f>SUM(M4821:M4823)</f>
        <v>0</v>
      </c>
      <c r="N4824" s="9"/>
      <c r="O4824" s="2">
        <f>SUM(O4821:O4823)</f>
        <v>0</v>
      </c>
      <c r="P4824" s="9"/>
      <c r="Q4824" s="2">
        <f>SUM(Q4821:Q4823)</f>
        <v>0</v>
      </c>
    </row>
    <row r="4825" spans="1:21" ht="11.85" customHeight="1" x14ac:dyDescent="0.2">
      <c r="L4825" s="9"/>
      <c r="N4825" s="9"/>
      <c r="P4825" s="9"/>
    </row>
    <row r="4826" spans="1:21" ht="11.85" customHeight="1" x14ac:dyDescent="0.2">
      <c r="A4826" s="3" t="s">
        <v>1910</v>
      </c>
      <c r="C4826" s="2">
        <f>C4796+C4814+C4824+C4800+C4818</f>
        <v>0</v>
      </c>
      <c r="E4826" s="2">
        <f>E4796+E4814+E4824+E4800+E4818</f>
        <v>0</v>
      </c>
      <c r="G4826" s="2">
        <f>G4796+G4814+G4824+G4800+G4818</f>
        <v>0</v>
      </c>
      <c r="I4826" s="2">
        <f>I4796+I4814+I4824+I4800+I4818</f>
        <v>0</v>
      </c>
      <c r="K4826" s="2">
        <f>K4796+K4814+K4824+K4800+K4818</f>
        <v>0</v>
      </c>
      <c r="L4826" s="9"/>
      <c r="M4826" s="2">
        <f>M4796+M4814+M4824+M4800+M4818</f>
        <v>0</v>
      </c>
      <c r="N4826" s="9"/>
      <c r="O4826" s="2">
        <f>O4796+O4814+O4824+O4800+O4818</f>
        <v>0</v>
      </c>
      <c r="P4826" s="9"/>
      <c r="Q4826" s="2">
        <f>Q4796+Q4814+Q4824+Q4800+Q4818</f>
        <v>0</v>
      </c>
      <c r="R4826" s="9"/>
      <c r="T4826" s="11"/>
      <c r="U4826" s="48"/>
    </row>
    <row r="4827" spans="1:21" ht="11.85" customHeight="1" x14ac:dyDescent="0.2"/>
    <row r="4828" spans="1:21" ht="11.85" customHeight="1" x14ac:dyDescent="0.2"/>
    <row r="4829" spans="1:21" ht="11.85" customHeight="1" x14ac:dyDescent="0.2"/>
    <row r="4830" spans="1:21" ht="11.85" customHeight="1" x14ac:dyDescent="0.2"/>
    <row r="4831" spans="1:21" ht="11.85" customHeight="1" x14ac:dyDescent="0.2"/>
    <row r="4832" spans="1:21" ht="11.85" customHeight="1" x14ac:dyDescent="0.2"/>
    <row r="4833" spans="1:5" ht="11.85" customHeight="1" x14ac:dyDescent="0.2"/>
    <row r="4834" spans="1:5" ht="11.85" customHeight="1" x14ac:dyDescent="0.2"/>
    <row r="4835" spans="1:5" ht="11.85" customHeight="1" x14ac:dyDescent="0.2"/>
    <row r="4836" spans="1:5" ht="11.85" customHeight="1" x14ac:dyDescent="0.2"/>
    <row r="4837" spans="1:5" ht="11.85" customHeight="1" x14ac:dyDescent="0.2"/>
    <row r="4838" spans="1:5" ht="11.85" customHeight="1" x14ac:dyDescent="0.2"/>
    <row r="4839" spans="1:5" ht="11.85" customHeight="1" x14ac:dyDescent="0.2"/>
    <row r="4840" spans="1:5" ht="11.85" customHeight="1" x14ac:dyDescent="0.2"/>
    <row r="4841" spans="1:5" ht="11.85" customHeight="1" x14ac:dyDescent="0.2"/>
    <row r="4842" spans="1:5" ht="11.85" customHeight="1" x14ac:dyDescent="0.2"/>
    <row r="4843" spans="1:5" ht="11.85" customHeight="1" x14ac:dyDescent="0.2"/>
    <row r="4844" spans="1:5" ht="11.85" customHeight="1" x14ac:dyDescent="0.2"/>
    <row r="4845" spans="1:5" ht="11.85" customHeight="1" x14ac:dyDescent="0.2">
      <c r="A4845" s="1"/>
      <c r="B4845" s="1"/>
      <c r="E4845" s="2" t="str">
        <f>$E$1</f>
        <v>CITY OF BRADY</v>
      </c>
    </row>
    <row r="4846" spans="1:5" ht="11.85" customHeight="1" x14ac:dyDescent="0.2">
      <c r="E4846" s="2" t="str">
        <f>$E$2</f>
        <v>BUDGET REPORT</v>
      </c>
    </row>
    <row r="4847" spans="1:5" ht="11.85" customHeight="1" x14ac:dyDescent="0.2">
      <c r="E4847" s="2" t="str">
        <f>$E$3</f>
        <v>FISCAL YEAR 2024 - 2025</v>
      </c>
    </row>
    <row r="4848" spans="1:5" ht="11.85" customHeight="1" x14ac:dyDescent="0.2">
      <c r="A4848" s="3" t="s">
        <v>1812</v>
      </c>
    </row>
    <row r="4849" spans="1:21" ht="11.85" customHeight="1" x14ac:dyDescent="0.2"/>
    <row r="4850" spans="1:21" ht="11.85" customHeight="1" x14ac:dyDescent="0.2">
      <c r="I4850" s="53" t="str">
        <f>$I$6</f>
        <v>(----- 2023-2024------)</v>
      </c>
      <c r="J4850" s="53"/>
      <c r="K4850" s="53"/>
      <c r="L4850" s="6"/>
      <c r="M4850" s="54" t="str">
        <f>$M$6</f>
        <v>2024-2025</v>
      </c>
      <c r="N4850" s="54"/>
      <c r="O4850" s="54"/>
      <c r="P4850" s="54"/>
      <c r="Q4850" s="54"/>
    </row>
    <row r="4851" spans="1:21" ht="11.85" customHeight="1" x14ac:dyDescent="0.2">
      <c r="C4851" s="5" t="str">
        <f>$C$7</f>
        <v>2020-2021</v>
      </c>
      <c r="D4851" s="5"/>
      <c r="E4851" s="5" t="str">
        <f>$E$7</f>
        <v>2021-2022</v>
      </c>
      <c r="F4851" s="5"/>
      <c r="G4851" s="5" t="str">
        <f>$G$7</f>
        <v>2022-2023</v>
      </c>
      <c r="H4851" s="5"/>
      <c r="I4851" s="5" t="s">
        <v>9</v>
      </c>
      <c r="J4851" s="5"/>
      <c r="K4851" s="5" t="str">
        <f>+$K$7</f>
        <v>PROJECTED</v>
      </c>
      <c r="L4851" s="6"/>
      <c r="M4851" s="5">
        <f>$M$7</f>
        <v>0</v>
      </c>
      <c r="N4851" s="6"/>
      <c r="O4851" s="5" t="str">
        <f>$O$7</f>
        <v>2024-2025</v>
      </c>
      <c r="P4851" s="6"/>
      <c r="Q4851" s="5" t="str">
        <f>$Q$7</f>
        <v>APPROVED</v>
      </c>
    </row>
    <row r="4852" spans="1:21" ht="11.85" customHeight="1" x14ac:dyDescent="0.2">
      <c r="A4852" s="7" t="s">
        <v>273</v>
      </c>
      <c r="C4852" s="8" t="s">
        <v>12</v>
      </c>
      <c r="D4852" s="5"/>
      <c r="E4852" s="8" t="s">
        <v>12</v>
      </c>
      <c r="F4852" s="5"/>
      <c r="G4852" s="8" t="s">
        <v>12</v>
      </c>
      <c r="H4852" s="5"/>
      <c r="I4852" s="8" t="s">
        <v>13</v>
      </c>
      <c r="J4852" s="5"/>
      <c r="K4852" s="8" t="s">
        <v>13</v>
      </c>
      <c r="L4852" s="6"/>
      <c r="M4852" s="8" t="str">
        <f>$M$8</f>
        <v>BASE</v>
      </c>
      <c r="N4852" s="6"/>
      <c r="O4852" s="8" t="str">
        <f>$O$8</f>
        <v>SUPPLEMENTAL</v>
      </c>
      <c r="P4852" s="6"/>
      <c r="Q4852" s="8" t="str">
        <f>$Q$8</f>
        <v>BUDGET</v>
      </c>
    </row>
    <row r="4853" spans="1:21" ht="11.85" customHeight="1" x14ac:dyDescent="0.2"/>
    <row r="4854" spans="1:21" ht="11.85" customHeight="1" thickBot="1" x14ac:dyDescent="0.25">
      <c r="A4854" s="3" t="s">
        <v>1123</v>
      </c>
      <c r="C4854" s="25">
        <f>C4738+C4826</f>
        <v>1400783.92</v>
      </c>
      <c r="E4854" s="25">
        <f>E4738+E4826</f>
        <v>1280549.0699999998</v>
      </c>
      <c r="G4854" s="25">
        <f>G4738+G4826</f>
        <v>1358592.76</v>
      </c>
      <c r="I4854" s="25">
        <f>I4738+I4826</f>
        <v>1502147</v>
      </c>
      <c r="K4854" s="25">
        <f>K4738+K4826</f>
        <v>1732434</v>
      </c>
      <c r="L4854" s="9"/>
      <c r="M4854" s="25">
        <f>M4738+M4826</f>
        <v>1951715</v>
      </c>
      <c r="N4854" s="9"/>
      <c r="O4854" s="25">
        <f>O4738+O4826</f>
        <v>30633</v>
      </c>
      <c r="P4854" s="9"/>
      <c r="Q4854" s="25">
        <f>Q4738+Q4826</f>
        <v>1982348</v>
      </c>
      <c r="R4854" s="9"/>
      <c r="U4854" s="9"/>
    </row>
    <row r="4855" spans="1:21" ht="11.85" customHeight="1" thickTop="1" x14ac:dyDescent="0.2">
      <c r="L4855" s="9"/>
      <c r="N4855" s="9"/>
      <c r="P4855" s="9"/>
    </row>
    <row r="4856" spans="1:21" ht="11.85" customHeight="1" thickBot="1" x14ac:dyDescent="0.25">
      <c r="A4856" s="3" t="s">
        <v>1124</v>
      </c>
      <c r="C4856" s="36">
        <f>C4621-C4854</f>
        <v>-93104.759999999776</v>
      </c>
      <c r="D4856" s="9"/>
      <c r="E4856" s="36">
        <f>E4621-E4854</f>
        <v>285754</v>
      </c>
      <c r="F4856" s="9"/>
      <c r="G4856" s="36">
        <f>G4621-G4854</f>
        <v>154318.74</v>
      </c>
      <c r="H4856" s="9"/>
      <c r="I4856" s="36">
        <f>I4621-I4854</f>
        <v>-81147</v>
      </c>
      <c r="J4856" s="9"/>
      <c r="K4856" s="36">
        <f>K4621-K4854</f>
        <v>-269434</v>
      </c>
      <c r="L4856" s="9"/>
      <c r="M4856" s="36">
        <f>M4621-M4854</f>
        <v>-215715</v>
      </c>
      <c r="N4856" s="9"/>
      <c r="O4856" s="36">
        <f>O4621-O4854</f>
        <v>-30633</v>
      </c>
      <c r="P4856" s="9"/>
      <c r="Q4856" s="36">
        <f>Q4621-Q4854</f>
        <v>-246348</v>
      </c>
      <c r="U4856" s="9"/>
    </row>
    <row r="4857" spans="1:21" ht="11.85" customHeight="1" thickTop="1" x14ac:dyDescent="0.2">
      <c r="L4857" s="9"/>
      <c r="N4857" s="9"/>
      <c r="P4857" s="9"/>
    </row>
    <row r="4858" spans="1:21" ht="11.85" customHeight="1" x14ac:dyDescent="0.2">
      <c r="L4858" s="9"/>
      <c r="N4858" s="9"/>
      <c r="P4858" s="9"/>
    </row>
    <row r="4859" spans="1:21" ht="11.85" customHeight="1" x14ac:dyDescent="0.2">
      <c r="A4859" s="3" t="s">
        <v>1125</v>
      </c>
      <c r="L4859" s="9"/>
      <c r="N4859" s="9"/>
      <c r="P4859" s="9"/>
    </row>
    <row r="4860" spans="1:21" ht="11.85" customHeight="1" thickBot="1" x14ac:dyDescent="0.25">
      <c r="A4860" s="3" t="s">
        <v>17</v>
      </c>
      <c r="C4860" s="25">
        <f>C4591+C4621-C4854</f>
        <v>584466.76000000024</v>
      </c>
      <c r="E4860" s="25">
        <f>E4591+E4621-E4854</f>
        <v>870220.76000000024</v>
      </c>
      <c r="G4860" s="25">
        <f>G4591+G4621-G4854</f>
        <v>1024539.5000000002</v>
      </c>
      <c r="I4860" s="25">
        <f>I4591+I4621-I4854</f>
        <v>943392.5</v>
      </c>
      <c r="K4860" s="25">
        <f>K4591+K4621-K4854</f>
        <v>755105.5</v>
      </c>
      <c r="L4860" s="9"/>
      <c r="M4860" s="25">
        <f>M4591+M4621-M4854</f>
        <v>539390.5</v>
      </c>
      <c r="N4860" s="9"/>
      <c r="P4860" s="9"/>
      <c r="Q4860" s="25">
        <f>Q4591+Q4621-Q4854</f>
        <v>508757.5</v>
      </c>
      <c r="U4860" s="9"/>
    </row>
    <row r="4861" spans="1:21" ht="11.85" customHeight="1" thickTop="1" x14ac:dyDescent="0.2">
      <c r="L4861" s="2"/>
      <c r="N4861" s="2"/>
      <c r="P4861" s="2"/>
    </row>
    <row r="4862" spans="1:21" ht="11.85" customHeight="1" x14ac:dyDescent="0.2">
      <c r="T4862" s="47"/>
    </row>
    <row r="4863" spans="1:21" ht="11.85" customHeight="1" x14ac:dyDescent="0.2"/>
    <row r="4864" spans="1:21" ht="11.85" customHeight="1" x14ac:dyDescent="0.2"/>
    <row r="4865" spans="1:5" ht="11.85" customHeight="1" x14ac:dyDescent="0.2"/>
    <row r="4866" spans="1:5" ht="11.85" customHeight="1" x14ac:dyDescent="0.2"/>
    <row r="4867" spans="1:5" ht="11.85" customHeight="1" x14ac:dyDescent="0.2"/>
    <row r="4868" spans="1:5" ht="11.85" customHeight="1" x14ac:dyDescent="0.2"/>
    <row r="4869" spans="1:5" ht="11.85" customHeight="1" x14ac:dyDescent="0.2"/>
    <row r="4870" spans="1:5" ht="11.85" customHeight="1" x14ac:dyDescent="0.2"/>
    <row r="4871" spans="1:5" ht="11.85" customHeight="1" x14ac:dyDescent="0.2"/>
    <row r="4872" spans="1:5" ht="11.85" customHeight="1" x14ac:dyDescent="0.2"/>
    <row r="4873" spans="1:5" ht="11.85" customHeight="1" x14ac:dyDescent="0.2"/>
    <row r="4874" spans="1:5" ht="11.85" customHeight="1" x14ac:dyDescent="0.2"/>
    <row r="4875" spans="1:5" ht="11.85" customHeight="1" x14ac:dyDescent="0.2"/>
    <row r="4876" spans="1:5" ht="11.85" customHeight="1" x14ac:dyDescent="0.2"/>
    <row r="4877" spans="1:5" ht="11.85" customHeight="1" x14ac:dyDescent="0.2"/>
    <row r="4878" spans="1:5" ht="11.85" customHeight="1" x14ac:dyDescent="0.2"/>
    <row r="4879" spans="1:5" ht="11.85" customHeight="1" x14ac:dyDescent="0.2"/>
    <row r="4880" spans="1:5" ht="11.25" customHeight="1" x14ac:dyDescent="0.2">
      <c r="A4880" s="1"/>
      <c r="B4880" s="1"/>
      <c r="E4880" s="2" t="str">
        <f>$E$1</f>
        <v>CITY OF BRADY</v>
      </c>
    </row>
    <row r="4881" spans="1:17" ht="11.25" customHeight="1" x14ac:dyDescent="0.2">
      <c r="E4881" s="2" t="str">
        <f>$E$2</f>
        <v>BUDGET REPORT</v>
      </c>
    </row>
    <row r="4882" spans="1:17" ht="11.25" customHeight="1" x14ac:dyDescent="0.2">
      <c r="E4882" s="2" t="str">
        <f>$E$3</f>
        <v>FISCAL YEAR 2024 - 2025</v>
      </c>
    </row>
    <row r="4883" spans="1:17" ht="11.25" customHeight="1" x14ac:dyDescent="0.2">
      <c r="A4883" s="3" t="s">
        <v>1911</v>
      </c>
    </row>
    <row r="4884" spans="1:17" ht="11.25" customHeight="1" x14ac:dyDescent="0.2"/>
    <row r="4885" spans="1:17" ht="11.25" customHeight="1" x14ac:dyDescent="0.2">
      <c r="I4885" s="53" t="str">
        <f>$I$6</f>
        <v>(----- 2023-2024------)</v>
      </c>
      <c r="J4885" s="53"/>
      <c r="K4885" s="53"/>
      <c r="L4885" s="6"/>
      <c r="M4885" s="54" t="str">
        <f>$M$6</f>
        <v>2024-2025</v>
      </c>
      <c r="N4885" s="54"/>
      <c r="O4885" s="54"/>
      <c r="P4885" s="54"/>
      <c r="Q4885" s="54"/>
    </row>
    <row r="4886" spans="1:17" ht="11.25" customHeight="1" x14ac:dyDescent="0.2">
      <c r="C4886" s="5" t="str">
        <f>$C$7</f>
        <v>2020-2021</v>
      </c>
      <c r="D4886" s="5"/>
      <c r="E4886" s="5" t="str">
        <f>$E$7</f>
        <v>2021-2022</v>
      </c>
      <c r="F4886" s="5"/>
      <c r="G4886" s="5" t="str">
        <f>$G$7</f>
        <v>2022-2023</v>
      </c>
      <c r="H4886" s="5"/>
      <c r="I4886" s="5" t="s">
        <v>9</v>
      </c>
      <c r="J4886" s="5"/>
      <c r="K4886" s="5" t="str">
        <f>+$K$7</f>
        <v>PROJECTED</v>
      </c>
      <c r="L4886" s="6"/>
      <c r="M4886" s="5">
        <f>$M$7</f>
        <v>0</v>
      </c>
      <c r="N4886" s="6"/>
      <c r="O4886" s="5" t="str">
        <f>$O$7</f>
        <v>2024-2025</v>
      </c>
      <c r="P4886" s="6"/>
      <c r="Q4886" s="5" t="str">
        <f>$Q$7</f>
        <v>APPROVED</v>
      </c>
    </row>
    <row r="4887" spans="1:17" ht="11.25" customHeight="1" x14ac:dyDescent="0.2">
      <c r="A4887" s="7"/>
      <c r="C4887" s="8" t="s">
        <v>12</v>
      </c>
      <c r="D4887" s="5"/>
      <c r="E4887" s="8" t="s">
        <v>12</v>
      </c>
      <c r="F4887" s="5"/>
      <c r="G4887" s="8" t="s">
        <v>12</v>
      </c>
      <c r="H4887" s="5"/>
      <c r="I4887" s="8" t="s">
        <v>13</v>
      </c>
      <c r="J4887" s="5"/>
      <c r="K4887" s="8" t="s">
        <v>13</v>
      </c>
      <c r="L4887" s="6"/>
      <c r="M4887" s="8" t="str">
        <f>$M$8</f>
        <v>BASE</v>
      </c>
      <c r="N4887" s="6"/>
      <c r="O4887" s="8" t="str">
        <f>$O$8</f>
        <v>SUPPLEMENTAL</v>
      </c>
      <c r="P4887" s="6"/>
      <c r="Q4887" s="8" t="str">
        <f>$Q$8</f>
        <v>BUDGET</v>
      </c>
    </row>
    <row r="4888" spans="1:17" ht="11.25" customHeight="1" x14ac:dyDescent="0.2"/>
    <row r="4889" spans="1:17" ht="11.25" customHeight="1" x14ac:dyDescent="0.2">
      <c r="A4889" s="3" t="s">
        <v>16</v>
      </c>
      <c r="L4889" s="9"/>
      <c r="N4889" s="9"/>
      <c r="P4889" s="9"/>
    </row>
    <row r="4890" spans="1:17" ht="11.25" customHeight="1" x14ac:dyDescent="0.2">
      <c r="A4890" s="3" t="s">
        <v>17</v>
      </c>
      <c r="C4890" s="2">
        <v>95873.87</v>
      </c>
      <c r="E4890" s="2">
        <f>+C4998</f>
        <v>96148.89</v>
      </c>
      <c r="G4890" s="2">
        <f>+E4998</f>
        <v>89956.95</v>
      </c>
      <c r="I4890" s="2">
        <f>+G4998</f>
        <v>62291.270000000004</v>
      </c>
      <c r="K4890" s="2">
        <f>+I4890</f>
        <v>62291.270000000004</v>
      </c>
      <c r="L4890" s="9"/>
      <c r="M4890" s="9">
        <f>+K4998</f>
        <v>40989.270000000019</v>
      </c>
      <c r="N4890" s="9"/>
      <c r="P4890" s="9"/>
      <c r="Q4890" s="2">
        <f>+M4890</f>
        <v>40989.270000000019</v>
      </c>
    </row>
    <row r="4891" spans="1:17" ht="11.25" customHeight="1" x14ac:dyDescent="0.2">
      <c r="L4891" s="9"/>
      <c r="N4891" s="9"/>
      <c r="P4891" s="9"/>
    </row>
    <row r="4892" spans="1:17" ht="11.25" customHeight="1" x14ac:dyDescent="0.2">
      <c r="A4892" s="10" t="s">
        <v>18</v>
      </c>
      <c r="L4892" s="9"/>
      <c r="N4892" s="9"/>
      <c r="P4892" s="9"/>
    </row>
    <row r="4893" spans="1:17" ht="11.25" customHeight="1" x14ac:dyDescent="0.2">
      <c r="L4893" s="9"/>
      <c r="N4893" s="9"/>
      <c r="P4893" s="9"/>
    </row>
    <row r="4894" spans="1:17" ht="11.25" customHeight="1" x14ac:dyDescent="0.2">
      <c r="A4894" s="10" t="s">
        <v>1912</v>
      </c>
      <c r="L4894" s="9"/>
      <c r="N4894" s="9"/>
      <c r="P4894" s="9"/>
    </row>
    <row r="4895" spans="1:17" ht="11.25" customHeight="1" x14ac:dyDescent="0.2">
      <c r="A4895" s="3" t="s">
        <v>1913</v>
      </c>
      <c r="C4895" s="12">
        <v>74253.16</v>
      </c>
      <c r="E4895" s="12">
        <v>74353.17</v>
      </c>
      <c r="G4895" s="12">
        <v>74004.3</v>
      </c>
      <c r="I4895" s="12">
        <v>74000</v>
      </c>
      <c r="K4895" s="12">
        <v>74000</v>
      </c>
      <c r="L4895" s="9"/>
      <c r="M4895" s="12">
        <v>74000</v>
      </c>
      <c r="N4895" s="9"/>
      <c r="O4895" s="12">
        <v>0</v>
      </c>
      <c r="P4895" s="9"/>
      <c r="Q4895" s="12">
        <f>M4895+O4895</f>
        <v>74000</v>
      </c>
    </row>
    <row r="4896" spans="1:17" ht="11.25" customHeight="1" x14ac:dyDescent="0.2">
      <c r="A4896" s="3" t="s">
        <v>1174</v>
      </c>
      <c r="C4896" s="2">
        <f>SUM(C4895:C4895)</f>
        <v>74253.16</v>
      </c>
      <c r="E4896" s="2">
        <f>SUM(E4895:E4895)</f>
        <v>74353.17</v>
      </c>
      <c r="G4896" s="2">
        <f>SUM(G4895:G4895)</f>
        <v>74004.3</v>
      </c>
      <c r="I4896" s="2">
        <f>SUM(I4895:I4895)</f>
        <v>74000</v>
      </c>
      <c r="K4896" s="2">
        <f>SUM(K4895:K4895)</f>
        <v>74000</v>
      </c>
      <c r="L4896" s="9"/>
      <c r="M4896" s="2">
        <f>SUM(M4895:M4895)</f>
        <v>74000</v>
      </c>
      <c r="N4896" s="9"/>
      <c r="O4896" s="2">
        <f>SUM(O4895:O4895)</f>
        <v>0</v>
      </c>
      <c r="P4896" s="9"/>
      <c r="Q4896" s="2">
        <f>SUM(Q4895:Q4895)</f>
        <v>74000</v>
      </c>
    </row>
    <row r="4897" spans="1:17" ht="11.25" customHeight="1" x14ac:dyDescent="0.2">
      <c r="L4897" s="9"/>
      <c r="N4897" s="9"/>
      <c r="P4897" s="9"/>
    </row>
    <row r="4898" spans="1:17" ht="11.25" customHeight="1" x14ac:dyDescent="0.2">
      <c r="A4898" s="10" t="s">
        <v>1914</v>
      </c>
      <c r="L4898" s="9"/>
      <c r="N4898" s="9"/>
      <c r="P4898" s="9"/>
    </row>
    <row r="4899" spans="1:17" ht="11.25" customHeight="1" x14ac:dyDescent="0.2">
      <c r="A4899" s="3" t="s">
        <v>1915</v>
      </c>
      <c r="C4899" s="12">
        <v>12800.43</v>
      </c>
      <c r="E4899" s="12">
        <v>0</v>
      </c>
      <c r="G4899" s="12">
        <v>0</v>
      </c>
      <c r="I4899" s="12">
        <v>0</v>
      </c>
      <c r="K4899" s="12">
        <v>0</v>
      </c>
      <c r="L4899" s="9"/>
      <c r="M4899" s="12">
        <v>0</v>
      </c>
      <c r="N4899" s="9"/>
      <c r="O4899" s="12">
        <v>0</v>
      </c>
      <c r="P4899" s="9"/>
      <c r="Q4899" s="12">
        <f>M4899+O4899</f>
        <v>0</v>
      </c>
    </row>
    <row r="4900" spans="1:17" ht="11.25" customHeight="1" x14ac:dyDescent="0.2">
      <c r="A4900" s="3" t="s">
        <v>1916</v>
      </c>
      <c r="C4900" s="2">
        <f>SUM(C4899:C4899)</f>
        <v>12800.43</v>
      </c>
      <c r="E4900" s="2">
        <f>SUM(E4899:E4899)</f>
        <v>0</v>
      </c>
      <c r="G4900" s="2">
        <f>SUM(G4899:G4899)</f>
        <v>0</v>
      </c>
      <c r="I4900" s="2">
        <f>SUM(I4899:I4899)</f>
        <v>0</v>
      </c>
      <c r="K4900" s="2">
        <f>SUM(K4899:K4899)</f>
        <v>0</v>
      </c>
      <c r="L4900" s="9"/>
      <c r="M4900" s="2">
        <f>SUM(M4899:M4899)</f>
        <v>0</v>
      </c>
      <c r="N4900" s="9"/>
      <c r="O4900" s="2">
        <f>SUM(O4899:O4899)</f>
        <v>0</v>
      </c>
      <c r="P4900" s="9"/>
      <c r="Q4900" s="2">
        <f>SUM(Q4899:Q4899)</f>
        <v>0</v>
      </c>
    </row>
    <row r="4901" spans="1:17" ht="11.25" customHeight="1" x14ac:dyDescent="0.2">
      <c r="L4901" s="9"/>
      <c r="N4901" s="9"/>
      <c r="P4901" s="9"/>
    </row>
    <row r="4902" spans="1:17" ht="11.85" customHeight="1" x14ac:dyDescent="0.2">
      <c r="A4902" s="10" t="s">
        <v>244</v>
      </c>
      <c r="L4902" s="9"/>
      <c r="N4902" s="9"/>
      <c r="P4902" s="9"/>
    </row>
    <row r="4903" spans="1:17" ht="11.85" customHeight="1" x14ac:dyDescent="0.2">
      <c r="A4903" s="3" t="s">
        <v>1917</v>
      </c>
      <c r="C4903" s="2">
        <v>0</v>
      </c>
      <c r="E4903" s="2">
        <v>0</v>
      </c>
      <c r="G4903" s="2">
        <v>0</v>
      </c>
      <c r="I4903" s="2">
        <v>0</v>
      </c>
      <c r="K4903" s="2">
        <v>0</v>
      </c>
      <c r="L4903" s="9"/>
      <c r="M4903" s="2">
        <v>0</v>
      </c>
      <c r="N4903" s="9"/>
      <c r="O4903" s="2">
        <v>0</v>
      </c>
      <c r="P4903" s="9"/>
      <c r="Q4903" s="2">
        <f>+M4903+O4903</f>
        <v>0</v>
      </c>
    </row>
    <row r="4904" spans="1:17" ht="11.85" customHeight="1" x14ac:dyDescent="0.2">
      <c r="A4904" s="3" t="s">
        <v>1918</v>
      </c>
      <c r="C4904" s="12">
        <v>0</v>
      </c>
      <c r="E4904" s="12">
        <v>0</v>
      </c>
      <c r="G4904" s="12">
        <v>0</v>
      </c>
      <c r="I4904" s="12">
        <v>0</v>
      </c>
      <c r="K4904" s="12">
        <v>0</v>
      </c>
      <c r="L4904" s="9"/>
      <c r="M4904" s="12">
        <v>0</v>
      </c>
      <c r="N4904" s="9"/>
      <c r="O4904" s="12">
        <v>0</v>
      </c>
      <c r="P4904" s="9"/>
      <c r="Q4904" s="12">
        <f>+M4904+O4904</f>
        <v>0</v>
      </c>
    </row>
    <row r="4905" spans="1:17" ht="11.85" customHeight="1" x14ac:dyDescent="0.2">
      <c r="A4905" s="3" t="s">
        <v>258</v>
      </c>
      <c r="C4905" s="2">
        <f>SUM(C4903:C4904)</f>
        <v>0</v>
      </c>
      <c r="E4905" s="2">
        <f>SUM(E4903:E4904)</f>
        <v>0</v>
      </c>
      <c r="G4905" s="2">
        <f>SUM(G4903:G4904)</f>
        <v>0</v>
      </c>
      <c r="I4905" s="2">
        <f>SUM(I4903:I4904)</f>
        <v>0</v>
      </c>
      <c r="K4905" s="2">
        <f>SUM(K4903:K4904)</f>
        <v>0</v>
      </c>
      <c r="L4905" s="9"/>
      <c r="M4905" s="2">
        <f>SUM(M4903:M4904)</f>
        <v>0</v>
      </c>
      <c r="N4905" s="9"/>
      <c r="O4905" s="2">
        <f>SUM(O4904:O4904)</f>
        <v>0</v>
      </c>
      <c r="P4905" s="9"/>
      <c r="Q4905" s="2">
        <f>SUM(Q4903:Q4904)</f>
        <v>0</v>
      </c>
    </row>
    <row r="4906" spans="1:17" ht="11.85" customHeight="1" x14ac:dyDescent="0.2"/>
    <row r="4907" spans="1:17" ht="11.25" customHeight="1" thickBot="1" x14ac:dyDescent="0.25">
      <c r="A4907" s="3" t="s">
        <v>270</v>
      </c>
      <c r="C4907" s="25">
        <f>C4896+C4905+C4900</f>
        <v>87053.59</v>
      </c>
      <c r="E4907" s="25">
        <f>E4896+E4905+E4900</f>
        <v>74353.17</v>
      </c>
      <c r="G4907" s="25">
        <f>G4896+G4905+G4900</f>
        <v>74004.3</v>
      </c>
      <c r="I4907" s="25">
        <f>I4896+I4905+I4900</f>
        <v>74000</v>
      </c>
      <c r="K4907" s="25">
        <f>K4896+K4905+K4900</f>
        <v>74000</v>
      </c>
      <c r="L4907" s="9"/>
      <c r="M4907" s="25">
        <f>M4896+M4905+M4900</f>
        <v>74000</v>
      </c>
      <c r="N4907" s="9"/>
      <c r="O4907" s="25">
        <f>O4896+O4905+O4900</f>
        <v>0</v>
      </c>
      <c r="P4907" s="9"/>
      <c r="Q4907" s="25">
        <f>Q4896+Q4905+Q4900</f>
        <v>74000</v>
      </c>
    </row>
    <row r="4908" spans="1:17" ht="11.25" customHeight="1" thickTop="1" x14ac:dyDescent="0.2">
      <c r="L4908" s="9"/>
      <c r="N4908" s="9"/>
      <c r="P4908" s="9"/>
    </row>
    <row r="4909" spans="1:17" ht="11.25" customHeight="1" x14ac:dyDescent="0.2">
      <c r="L4909" s="9"/>
      <c r="N4909" s="9"/>
      <c r="P4909" s="9"/>
    </row>
    <row r="4910" spans="1:17" ht="11.25" customHeight="1" x14ac:dyDescent="0.2">
      <c r="A4910" s="3" t="s">
        <v>271</v>
      </c>
      <c r="C4910" s="2">
        <f>C4890+C4907</f>
        <v>182927.46</v>
      </c>
      <c r="E4910" s="2">
        <f>E4890+E4907</f>
        <v>170502.06</v>
      </c>
      <c r="G4910" s="2">
        <f>G4890+G4907</f>
        <v>163961.25</v>
      </c>
      <c r="I4910" s="2">
        <f>I4890+I4907</f>
        <v>136291.27000000002</v>
      </c>
      <c r="K4910" s="2">
        <f>K4890+K4907</f>
        <v>136291.27000000002</v>
      </c>
      <c r="L4910" s="9"/>
      <c r="M4910" s="2">
        <f>M4890+M4907</f>
        <v>114989.27000000002</v>
      </c>
      <c r="N4910" s="9"/>
      <c r="P4910" s="9"/>
      <c r="Q4910" s="2">
        <f>Q4890+Q4907</f>
        <v>114989.27000000002</v>
      </c>
    </row>
    <row r="4911" spans="1:17" ht="11.25" customHeight="1" x14ac:dyDescent="0.2"/>
    <row r="4912" spans="1:17" ht="11.85" customHeight="1" x14ac:dyDescent="0.2"/>
    <row r="4913" spans="1:5" ht="11.85" customHeight="1" x14ac:dyDescent="0.2"/>
    <row r="4914" spans="1:5" ht="11.85" customHeight="1" x14ac:dyDescent="0.2"/>
    <row r="4915" spans="1:5" ht="11.85" customHeight="1" x14ac:dyDescent="0.2"/>
    <row r="4916" spans="1:5" ht="11.85" customHeight="1" x14ac:dyDescent="0.2"/>
    <row r="4917" spans="1:5" ht="11.85" customHeight="1" x14ac:dyDescent="0.2"/>
    <row r="4918" spans="1:5" ht="11.85" customHeight="1" x14ac:dyDescent="0.2"/>
    <row r="4919" spans="1:5" ht="11.85" customHeight="1" x14ac:dyDescent="0.2"/>
    <row r="4920" spans="1:5" ht="11.85" customHeight="1" x14ac:dyDescent="0.2"/>
    <row r="4921" spans="1:5" ht="11.85" customHeight="1" x14ac:dyDescent="0.2"/>
    <row r="4922" spans="1:5" ht="11.85" customHeight="1" x14ac:dyDescent="0.2"/>
    <row r="4923" spans="1:5" ht="11.85" customHeight="1" x14ac:dyDescent="0.2"/>
    <row r="4924" spans="1:5" ht="11.85" customHeight="1" x14ac:dyDescent="0.2"/>
    <row r="4925" spans="1:5" ht="11.85" customHeight="1" x14ac:dyDescent="0.2"/>
    <row r="4926" spans="1:5" ht="11.85" customHeight="1" x14ac:dyDescent="0.2"/>
    <row r="4927" spans="1:5" ht="11.85" customHeight="1" x14ac:dyDescent="0.2"/>
    <row r="4928" spans="1:5" ht="11.85" customHeight="1" x14ac:dyDescent="0.2">
      <c r="A4928" s="1"/>
      <c r="B4928" s="1"/>
      <c r="E4928" s="2" t="str">
        <f>$E$1</f>
        <v>CITY OF BRADY</v>
      </c>
    </row>
    <row r="4929" spans="1:20" ht="11.85" customHeight="1" x14ac:dyDescent="0.2">
      <c r="E4929" s="2" t="str">
        <f>$E$2</f>
        <v>BUDGET REPORT</v>
      </c>
    </row>
    <row r="4930" spans="1:20" ht="11.85" customHeight="1" x14ac:dyDescent="0.2">
      <c r="E4930" s="2" t="str">
        <f>$E$3</f>
        <v>FISCAL YEAR 2024 - 2025</v>
      </c>
    </row>
    <row r="4931" spans="1:20" ht="11.85" customHeight="1" x14ac:dyDescent="0.2">
      <c r="A4931" s="3" t="s">
        <v>1911</v>
      </c>
    </row>
    <row r="4932" spans="1:20" ht="11.85" customHeight="1" x14ac:dyDescent="0.2">
      <c r="A4932" s="3" t="s">
        <v>1919</v>
      </c>
    </row>
    <row r="4933" spans="1:20" ht="11.85" customHeight="1" x14ac:dyDescent="0.2">
      <c r="I4933" s="53" t="str">
        <f>$I$6</f>
        <v>(----- 2023-2024------)</v>
      </c>
      <c r="J4933" s="53"/>
      <c r="K4933" s="53"/>
      <c r="L4933" s="6"/>
      <c r="M4933" s="54" t="str">
        <f>$M$6</f>
        <v>2024-2025</v>
      </c>
      <c r="N4933" s="54"/>
      <c r="O4933" s="54"/>
      <c r="P4933" s="54"/>
      <c r="Q4933" s="54"/>
    </row>
    <row r="4934" spans="1:20" ht="11.85" customHeight="1" x14ac:dyDescent="0.2">
      <c r="C4934" s="5" t="str">
        <f>$C$7</f>
        <v>2020-2021</v>
      </c>
      <c r="D4934" s="5"/>
      <c r="E4934" s="5" t="str">
        <f>$E$7</f>
        <v>2021-2022</v>
      </c>
      <c r="F4934" s="5"/>
      <c r="G4934" s="5" t="str">
        <f>$G$7</f>
        <v>2022-2023</v>
      </c>
      <c r="H4934" s="5"/>
      <c r="I4934" s="5" t="s">
        <v>9</v>
      </c>
      <c r="J4934" s="5"/>
      <c r="K4934" s="5" t="str">
        <f>+$K$7</f>
        <v>PROJECTED</v>
      </c>
      <c r="L4934" s="6"/>
      <c r="M4934" s="5">
        <f>$M$7</f>
        <v>0</v>
      </c>
      <c r="N4934" s="6"/>
      <c r="O4934" s="5" t="str">
        <f>$O$7</f>
        <v>2024-2025</v>
      </c>
      <c r="P4934" s="6"/>
      <c r="Q4934" s="5" t="str">
        <f>$Q$7</f>
        <v>APPROVED</v>
      </c>
    </row>
    <row r="4935" spans="1:20" ht="11.85" customHeight="1" x14ac:dyDescent="0.2">
      <c r="A4935" s="7" t="s">
        <v>273</v>
      </c>
      <c r="C4935" s="8" t="s">
        <v>12</v>
      </c>
      <c r="D4935" s="5"/>
      <c r="E4935" s="8" t="s">
        <v>12</v>
      </c>
      <c r="F4935" s="5"/>
      <c r="G4935" s="8" t="s">
        <v>12</v>
      </c>
      <c r="H4935" s="5"/>
      <c r="I4935" s="8" t="s">
        <v>13</v>
      </c>
      <c r="J4935" s="5"/>
      <c r="K4935" s="8" t="s">
        <v>13</v>
      </c>
      <c r="L4935" s="6"/>
      <c r="M4935" s="8" t="str">
        <f>$M$8</f>
        <v>BASE</v>
      </c>
      <c r="N4935" s="6"/>
      <c r="O4935" s="8" t="str">
        <f>$O$8</f>
        <v>SUPPLEMENTAL</v>
      </c>
      <c r="P4935" s="6"/>
      <c r="Q4935" s="8" t="str">
        <f>$Q$8</f>
        <v>BUDGET</v>
      </c>
    </row>
    <row r="4936" spans="1:20" ht="11.85" customHeight="1" x14ac:dyDescent="0.2"/>
    <row r="4937" spans="1:20" ht="11.85" customHeight="1" x14ac:dyDescent="0.2">
      <c r="A4937" s="10" t="s">
        <v>274</v>
      </c>
    </row>
    <row r="4938" spans="1:20" ht="11.85" customHeight="1" x14ac:dyDescent="0.2">
      <c r="A4938" s="3" t="s">
        <v>1920</v>
      </c>
      <c r="C4938" s="2">
        <v>30579.94</v>
      </c>
      <c r="E4938" s="2">
        <v>26991.200000000001</v>
      </c>
      <c r="G4938" s="2">
        <v>39804.400000000001</v>
      </c>
      <c r="I4938" s="2">
        <v>40920</v>
      </c>
      <c r="K4938" s="2">
        <v>40920</v>
      </c>
      <c r="L4938" s="9"/>
      <c r="M4938" s="2">
        <v>42141</v>
      </c>
      <c r="N4938" s="9"/>
      <c r="O4938" s="2">
        <v>0</v>
      </c>
      <c r="P4938" s="9"/>
      <c r="Q4938" s="2">
        <f t="shared" ref="Q4938:Q4945" si="134">M4938+O4938</f>
        <v>42141</v>
      </c>
      <c r="T4938" s="11"/>
    </row>
    <row r="4939" spans="1:20" ht="11.85" customHeight="1" x14ac:dyDescent="0.2">
      <c r="A4939" s="3" t="s">
        <v>1921</v>
      </c>
      <c r="C4939" s="2">
        <v>0</v>
      </c>
      <c r="E4939" s="2">
        <v>0</v>
      </c>
      <c r="G4939" s="2">
        <v>0</v>
      </c>
      <c r="I4939" s="2">
        <v>0</v>
      </c>
      <c r="K4939" s="2">
        <v>0</v>
      </c>
      <c r="L4939" s="9"/>
      <c r="M4939" s="2">
        <v>0</v>
      </c>
      <c r="N4939" s="9"/>
      <c r="O4939" s="2">
        <v>0</v>
      </c>
      <c r="P4939" s="9"/>
      <c r="Q4939" s="2">
        <f t="shared" si="134"/>
        <v>0</v>
      </c>
      <c r="T4939" s="11"/>
    </row>
    <row r="4940" spans="1:20" ht="11.85" customHeight="1" x14ac:dyDescent="0.2">
      <c r="A4940" s="3" t="s">
        <v>1922</v>
      </c>
      <c r="C4940" s="2">
        <v>600</v>
      </c>
      <c r="E4940" s="2">
        <v>600</v>
      </c>
      <c r="G4940" s="2">
        <v>600</v>
      </c>
      <c r="I4940" s="2">
        <v>600</v>
      </c>
      <c r="K4940" s="2">
        <v>600</v>
      </c>
      <c r="L4940" s="9"/>
      <c r="M4940" s="2">
        <v>600</v>
      </c>
      <c r="N4940" s="9"/>
      <c r="O4940" s="2">
        <v>0</v>
      </c>
      <c r="P4940" s="9"/>
      <c r="Q4940" s="2">
        <f t="shared" si="134"/>
        <v>600</v>
      </c>
      <c r="T4940" s="11"/>
    </row>
    <row r="4941" spans="1:20" ht="11.85" customHeight="1" x14ac:dyDescent="0.2">
      <c r="A4941" s="3" t="s">
        <v>1923</v>
      </c>
      <c r="C4941" s="2">
        <v>356.35</v>
      </c>
      <c r="E4941" s="2">
        <v>4091.5</v>
      </c>
      <c r="G4941" s="2">
        <v>10772.47</v>
      </c>
      <c r="I4941" s="2">
        <v>11460</v>
      </c>
      <c r="K4941" s="2">
        <v>11460</v>
      </c>
      <c r="L4941" s="9"/>
      <c r="M4941" s="2">
        <v>10141</v>
      </c>
      <c r="N4941" s="9"/>
      <c r="O4941" s="2">
        <v>0</v>
      </c>
      <c r="P4941" s="9"/>
      <c r="Q4941" s="2">
        <f t="shared" si="134"/>
        <v>10141</v>
      </c>
      <c r="T4941" s="11"/>
    </row>
    <row r="4942" spans="1:20" ht="11.85" customHeight="1" x14ac:dyDescent="0.2">
      <c r="A4942" s="3" t="s">
        <v>1924</v>
      </c>
      <c r="C4942" s="2">
        <v>3102.46</v>
      </c>
      <c r="E4942" s="2">
        <v>2655.9</v>
      </c>
      <c r="G4942" s="2">
        <v>3924.97</v>
      </c>
      <c r="I4942" s="2">
        <v>4075</v>
      </c>
      <c r="K4942" s="2">
        <v>4075</v>
      </c>
      <c r="L4942" s="9"/>
      <c r="M4942" s="2">
        <v>4093</v>
      </c>
      <c r="N4942" s="9"/>
      <c r="O4942" s="2">
        <v>0</v>
      </c>
      <c r="P4942" s="9"/>
      <c r="Q4942" s="2">
        <f t="shared" si="134"/>
        <v>4093</v>
      </c>
      <c r="T4942" s="11"/>
    </row>
    <row r="4943" spans="1:20" ht="11.85" customHeight="1" x14ac:dyDescent="0.2">
      <c r="A4943" s="3" t="s">
        <v>1925</v>
      </c>
      <c r="C4943" s="2">
        <v>1868</v>
      </c>
      <c r="E4943" s="2">
        <v>1773.77</v>
      </c>
      <c r="G4943" s="2">
        <v>2754.07</v>
      </c>
      <c r="I4943" s="2">
        <v>3201</v>
      </c>
      <c r="K4943" s="2">
        <v>3201</v>
      </c>
      <c r="L4943" s="9"/>
      <c r="M4943" s="2">
        <v>2216</v>
      </c>
      <c r="N4943" s="9"/>
      <c r="O4943" s="2">
        <v>0</v>
      </c>
      <c r="P4943" s="9"/>
      <c r="Q4943" s="2">
        <f t="shared" si="134"/>
        <v>2216</v>
      </c>
      <c r="T4943" s="11"/>
    </row>
    <row r="4944" spans="1:20" ht="11.85" customHeight="1" x14ac:dyDescent="0.2">
      <c r="A4944" s="3" t="s">
        <v>1926</v>
      </c>
      <c r="C4944" s="2">
        <v>252</v>
      </c>
      <c r="E4944" s="2">
        <v>1.01</v>
      </c>
      <c r="G4944" s="2">
        <v>9</v>
      </c>
      <c r="I4944" s="2">
        <v>84</v>
      </c>
      <c r="K4944" s="2">
        <v>84</v>
      </c>
      <c r="L4944" s="9"/>
      <c r="M4944" s="2">
        <v>90</v>
      </c>
      <c r="N4944" s="9"/>
      <c r="O4944" s="2">
        <v>0</v>
      </c>
      <c r="P4944" s="9"/>
      <c r="Q4944" s="2">
        <f t="shared" si="134"/>
        <v>90</v>
      </c>
      <c r="T4944" s="11"/>
    </row>
    <row r="4945" spans="1:21" ht="11.85" customHeight="1" x14ac:dyDescent="0.2">
      <c r="A4945" s="3" t="s">
        <v>1927</v>
      </c>
      <c r="C4945" s="12">
        <v>2291.42</v>
      </c>
      <c r="E4945" s="12">
        <v>2187.08</v>
      </c>
      <c r="G4945" s="12">
        <v>3086.08</v>
      </c>
      <c r="I4945" s="12">
        <v>3192</v>
      </c>
      <c r="K4945" s="12">
        <v>3192</v>
      </c>
      <c r="L4945" s="9"/>
      <c r="M4945" s="12">
        <v>3287</v>
      </c>
      <c r="N4945" s="9"/>
      <c r="O4945" s="12">
        <v>0</v>
      </c>
      <c r="P4945" s="9"/>
      <c r="Q4945" s="12">
        <f t="shared" si="134"/>
        <v>3287</v>
      </c>
      <c r="T4945" s="11"/>
    </row>
    <row r="4946" spans="1:21" ht="11.85" customHeight="1" x14ac:dyDescent="0.2">
      <c r="A4946" s="3" t="s">
        <v>285</v>
      </c>
      <c r="C4946" s="2">
        <f>SUM(C4938:C4945)</f>
        <v>39050.17</v>
      </c>
      <c r="E4946" s="2">
        <f>SUM(E4938:E4945)</f>
        <v>38300.46</v>
      </c>
      <c r="G4946" s="2">
        <f>SUM(G4938:G4945)</f>
        <v>60950.990000000005</v>
      </c>
      <c r="I4946" s="2">
        <f>SUM(I4938:I4945)</f>
        <v>63532</v>
      </c>
      <c r="K4946" s="2">
        <f>SUM(K4938:K4945)</f>
        <v>63532</v>
      </c>
      <c r="L4946" s="9"/>
      <c r="M4946" s="2">
        <f>SUM(M4938:M4945)</f>
        <v>62568</v>
      </c>
      <c r="N4946" s="9"/>
      <c r="O4946" s="2">
        <f>SUM(O4938:O4945)</f>
        <v>0</v>
      </c>
      <c r="P4946" s="9"/>
      <c r="Q4946" s="2">
        <f>SUM(Q4938:Q4945)</f>
        <v>62568</v>
      </c>
      <c r="R4946" s="9"/>
      <c r="T4946" s="14"/>
      <c r="U4946" s="9"/>
    </row>
    <row r="4947" spans="1:21" ht="11.85" customHeight="1" x14ac:dyDescent="0.2"/>
    <row r="4948" spans="1:21" ht="11.85" customHeight="1" x14ac:dyDescent="0.2">
      <c r="A4948" s="10" t="s">
        <v>286</v>
      </c>
      <c r="L4948" s="9"/>
      <c r="N4948" s="9"/>
      <c r="P4948" s="9"/>
    </row>
    <row r="4949" spans="1:21" ht="11.85" customHeight="1" x14ac:dyDescent="0.2">
      <c r="A4949" s="3" t="s">
        <v>1928</v>
      </c>
      <c r="C4949" s="12">
        <v>0</v>
      </c>
      <c r="E4949" s="12">
        <v>630.33000000000004</v>
      </c>
      <c r="G4949" s="12">
        <v>2249.14</v>
      </c>
      <c r="I4949" s="12">
        <v>2500</v>
      </c>
      <c r="K4949" s="12">
        <v>2500</v>
      </c>
      <c r="L4949" s="9"/>
      <c r="M4949" s="12">
        <v>2500</v>
      </c>
      <c r="N4949" s="9"/>
      <c r="O4949" s="12">
        <v>0</v>
      </c>
      <c r="P4949" s="9"/>
      <c r="Q4949" s="12">
        <f>+M4949+O4949</f>
        <v>2500</v>
      </c>
    </row>
    <row r="4950" spans="1:21" ht="11.85" customHeight="1" x14ac:dyDescent="0.2">
      <c r="A4950" s="3" t="s">
        <v>304</v>
      </c>
      <c r="C4950" s="2">
        <f>+C4949</f>
        <v>0</v>
      </c>
      <c r="E4950" s="2">
        <f>+E4949</f>
        <v>630.33000000000004</v>
      </c>
      <c r="G4950" s="2">
        <f>+G4949</f>
        <v>2249.14</v>
      </c>
      <c r="I4950" s="2">
        <f>+I4949</f>
        <v>2500</v>
      </c>
      <c r="K4950" s="2">
        <f>+K4949</f>
        <v>2500</v>
      </c>
      <c r="L4950" s="9"/>
      <c r="M4950" s="2">
        <f>+M4949</f>
        <v>2500</v>
      </c>
      <c r="N4950" s="9"/>
      <c r="O4950" s="2">
        <f>+O4949</f>
        <v>0</v>
      </c>
      <c r="P4950" s="9"/>
      <c r="Q4950" s="2">
        <f>+Q4949</f>
        <v>2500</v>
      </c>
    </row>
    <row r="4951" spans="1:21" ht="11.85" customHeight="1" x14ac:dyDescent="0.2"/>
    <row r="4952" spans="1:21" ht="11.85" customHeight="1" x14ac:dyDescent="0.2">
      <c r="A4952" s="10" t="s">
        <v>305</v>
      </c>
      <c r="L4952" s="9"/>
      <c r="N4952" s="9"/>
      <c r="P4952" s="9"/>
    </row>
    <row r="4953" spans="1:21" ht="11.85" customHeight="1" x14ac:dyDescent="0.2">
      <c r="A4953" s="3" t="s">
        <v>1929</v>
      </c>
      <c r="C4953" s="2">
        <v>76.94</v>
      </c>
      <c r="E4953" s="2">
        <v>147.49</v>
      </c>
      <c r="G4953" s="2">
        <v>153.88</v>
      </c>
      <c r="I4953" s="2">
        <v>250</v>
      </c>
      <c r="K4953" s="2">
        <v>250</v>
      </c>
      <c r="L4953" s="9"/>
      <c r="M4953" s="2">
        <v>250</v>
      </c>
      <c r="N4953" s="9"/>
      <c r="O4953" s="2">
        <v>0</v>
      </c>
      <c r="P4953" s="9"/>
      <c r="Q4953" s="2">
        <f>+M4953+O4953</f>
        <v>250</v>
      </c>
      <c r="U4953" s="9"/>
    </row>
    <row r="4954" spans="1:21" ht="11.85" customHeight="1" x14ac:dyDescent="0.2">
      <c r="A4954" s="3" t="s">
        <v>1930</v>
      </c>
      <c r="C4954" s="2">
        <v>363.82</v>
      </c>
      <c r="E4954" s="2">
        <v>847.41</v>
      </c>
      <c r="G4954" s="2">
        <v>851.19</v>
      </c>
      <c r="I4954" s="2">
        <v>1400</v>
      </c>
      <c r="K4954" s="2">
        <v>1400</v>
      </c>
      <c r="L4954" s="9"/>
      <c r="M4954" s="2">
        <v>1750</v>
      </c>
      <c r="N4954" s="9"/>
      <c r="O4954" s="2">
        <v>0</v>
      </c>
      <c r="P4954" s="9"/>
      <c r="Q4954" s="2">
        <f t="shared" ref="Q4954:Q4963" si="135">+M4954+O4954</f>
        <v>1750</v>
      </c>
      <c r="U4954" s="9"/>
    </row>
    <row r="4955" spans="1:21" ht="11.85" customHeight="1" x14ac:dyDescent="0.2">
      <c r="A4955" s="3" t="s">
        <v>1931</v>
      </c>
      <c r="C4955" s="2">
        <v>214.17</v>
      </c>
      <c r="E4955" s="2">
        <v>201.42</v>
      </c>
      <c r="G4955" s="2">
        <v>96.34</v>
      </c>
      <c r="I4955" s="2">
        <v>500</v>
      </c>
      <c r="K4955" s="2">
        <v>500</v>
      </c>
      <c r="L4955" s="9"/>
      <c r="M4955" s="2">
        <v>500</v>
      </c>
      <c r="N4955" s="9"/>
      <c r="O4955" s="2">
        <v>0</v>
      </c>
      <c r="P4955" s="9"/>
      <c r="Q4955" s="2">
        <f t="shared" si="135"/>
        <v>500</v>
      </c>
      <c r="U4955" s="9"/>
    </row>
    <row r="4956" spans="1:21" ht="11.85" customHeight="1" x14ac:dyDescent="0.2">
      <c r="A4956" s="3" t="s">
        <v>1932</v>
      </c>
      <c r="C4956" s="2">
        <v>3311.34</v>
      </c>
      <c r="E4956" s="2">
        <v>5885.48</v>
      </c>
      <c r="G4956" s="2">
        <v>4686.1099999999997</v>
      </c>
      <c r="I4956" s="2">
        <v>6000</v>
      </c>
      <c r="K4956" s="2">
        <v>6000</v>
      </c>
      <c r="L4956" s="9"/>
      <c r="M4956" s="2">
        <v>6000</v>
      </c>
      <c r="N4956" s="9"/>
      <c r="O4956" s="2">
        <v>0</v>
      </c>
      <c r="P4956" s="9"/>
      <c r="Q4956" s="2">
        <f t="shared" si="135"/>
        <v>6000</v>
      </c>
      <c r="U4956" s="9"/>
    </row>
    <row r="4957" spans="1:21" ht="11.85" customHeight="1" x14ac:dyDescent="0.2">
      <c r="A4957" s="3" t="s">
        <v>1933</v>
      </c>
      <c r="C4957" s="2">
        <v>844.08</v>
      </c>
      <c r="E4957" s="2">
        <v>1900.6</v>
      </c>
      <c r="G4957" s="2">
        <v>1018.28</v>
      </c>
      <c r="I4957" s="2">
        <v>2000</v>
      </c>
      <c r="K4957" s="2">
        <f>2000-200</f>
        <v>1800</v>
      </c>
      <c r="L4957" s="9"/>
      <c r="M4957" s="2">
        <v>2000</v>
      </c>
      <c r="N4957" s="9"/>
      <c r="O4957" s="2">
        <v>0</v>
      </c>
      <c r="P4957" s="9"/>
      <c r="Q4957" s="2">
        <f t="shared" si="135"/>
        <v>2000</v>
      </c>
      <c r="U4957" s="9"/>
    </row>
    <row r="4958" spans="1:21" ht="11.85" customHeight="1" x14ac:dyDescent="0.2">
      <c r="A4958" s="3" t="s">
        <v>1934</v>
      </c>
      <c r="C4958" s="2">
        <v>17649.46</v>
      </c>
      <c r="E4958" s="2">
        <v>5167.8100000000004</v>
      </c>
      <c r="G4958" s="2">
        <v>3389.93</v>
      </c>
      <c r="I4958" s="2">
        <v>7600</v>
      </c>
      <c r="K4958" s="2">
        <v>7600</v>
      </c>
      <c r="L4958" s="9"/>
      <c r="M4958" s="2">
        <v>7600</v>
      </c>
      <c r="N4958" s="9"/>
      <c r="O4958" s="2">
        <v>0</v>
      </c>
      <c r="P4958" s="9"/>
      <c r="Q4958" s="2">
        <f t="shared" si="135"/>
        <v>7600</v>
      </c>
      <c r="U4958" s="9"/>
    </row>
    <row r="4959" spans="1:21" ht="11.85" customHeight="1" x14ac:dyDescent="0.2">
      <c r="A4959" s="3" t="s">
        <v>1935</v>
      </c>
      <c r="C4959" s="2">
        <v>574.67999999999995</v>
      </c>
      <c r="E4959" s="2">
        <v>511.68</v>
      </c>
      <c r="G4959" s="2">
        <v>211.9</v>
      </c>
      <c r="I4959" s="2">
        <v>1000</v>
      </c>
      <c r="K4959" s="2">
        <v>1000</v>
      </c>
      <c r="L4959" s="9"/>
      <c r="M4959" s="2">
        <v>1000</v>
      </c>
      <c r="N4959" s="9"/>
      <c r="O4959" s="2">
        <v>0</v>
      </c>
      <c r="P4959" s="9"/>
      <c r="Q4959" s="2">
        <f t="shared" si="135"/>
        <v>1000</v>
      </c>
      <c r="U4959" s="9"/>
    </row>
    <row r="4960" spans="1:21" ht="11.85" customHeight="1" x14ac:dyDescent="0.2">
      <c r="A4960" s="3" t="s">
        <v>1936</v>
      </c>
      <c r="C4960" s="2">
        <v>88.22</v>
      </c>
      <c r="E4960" s="2">
        <v>131.22</v>
      </c>
      <c r="G4960" s="2">
        <v>84.35</v>
      </c>
      <c r="I4960" s="2">
        <v>200</v>
      </c>
      <c r="K4960" s="2">
        <f>200+200</f>
        <v>400</v>
      </c>
      <c r="L4960" s="9"/>
      <c r="M4960" s="2">
        <v>200</v>
      </c>
      <c r="N4960" s="9"/>
      <c r="O4960" s="2">
        <v>0</v>
      </c>
      <c r="P4960" s="9"/>
      <c r="Q4960" s="2">
        <f t="shared" si="135"/>
        <v>200</v>
      </c>
      <c r="U4960" s="9"/>
    </row>
    <row r="4961" spans="1:22" ht="11.85" customHeight="1" x14ac:dyDescent="0.2">
      <c r="A4961" s="3" t="s">
        <v>1937</v>
      </c>
      <c r="C4961" s="2">
        <v>830.01</v>
      </c>
      <c r="E4961" s="2">
        <v>2984.21</v>
      </c>
      <c r="G4961" s="2">
        <v>4090.72</v>
      </c>
      <c r="I4961" s="2">
        <v>5000</v>
      </c>
      <c r="K4961" s="2">
        <v>5000</v>
      </c>
      <c r="L4961" s="9"/>
      <c r="M4961" s="2">
        <v>5000</v>
      </c>
      <c r="N4961" s="9"/>
      <c r="O4961" s="2">
        <v>0</v>
      </c>
      <c r="P4961" s="9"/>
      <c r="Q4961" s="2">
        <f t="shared" si="135"/>
        <v>5000</v>
      </c>
      <c r="U4961" s="9"/>
    </row>
    <row r="4962" spans="1:22" ht="11.85" customHeight="1" x14ac:dyDescent="0.2">
      <c r="A4962" s="3" t="s">
        <v>1938</v>
      </c>
      <c r="C4962" s="2">
        <v>354.92</v>
      </c>
      <c r="E4962" s="2">
        <v>591.24</v>
      </c>
      <c r="G4962" s="2">
        <v>691.39</v>
      </c>
      <c r="I4962" s="2">
        <v>500</v>
      </c>
      <c r="K4962" s="2">
        <v>500</v>
      </c>
      <c r="L4962" s="9"/>
      <c r="M4962" s="2">
        <v>500</v>
      </c>
      <c r="N4962" s="9"/>
      <c r="O4962" s="2">
        <v>0</v>
      </c>
      <c r="P4962" s="9"/>
      <c r="Q4962" s="2">
        <f t="shared" si="135"/>
        <v>500</v>
      </c>
      <c r="U4962" s="9"/>
    </row>
    <row r="4963" spans="1:22" ht="11.85" customHeight="1" x14ac:dyDescent="0.2">
      <c r="A4963" s="3" t="s">
        <v>1939</v>
      </c>
      <c r="C4963" s="2">
        <v>525</v>
      </c>
      <c r="E4963" s="2">
        <v>350</v>
      </c>
      <c r="G4963" s="2">
        <v>300</v>
      </c>
      <c r="I4963" s="2">
        <v>1000</v>
      </c>
      <c r="K4963" s="2">
        <v>1000</v>
      </c>
      <c r="L4963" s="9"/>
      <c r="M4963" s="2">
        <v>1000</v>
      </c>
      <c r="N4963" s="9"/>
      <c r="O4963" s="2">
        <v>0</v>
      </c>
      <c r="P4963" s="9"/>
      <c r="Q4963" s="2">
        <f t="shared" si="135"/>
        <v>1000</v>
      </c>
      <c r="U4963" s="9"/>
    </row>
    <row r="4964" spans="1:22" ht="11.85" customHeight="1" x14ac:dyDescent="0.2">
      <c r="A4964" s="3" t="s">
        <v>1940</v>
      </c>
      <c r="C4964" s="12">
        <v>2216.16</v>
      </c>
      <c r="E4964" s="12">
        <v>1423.59</v>
      </c>
      <c r="G4964" s="12">
        <v>600.62</v>
      </c>
      <c r="I4964" s="12">
        <v>20</v>
      </c>
      <c r="K4964" s="12">
        <v>20</v>
      </c>
      <c r="L4964" s="9"/>
      <c r="M4964" s="12">
        <v>0</v>
      </c>
      <c r="N4964" s="9"/>
      <c r="O4964" s="12">
        <v>0</v>
      </c>
      <c r="P4964" s="9"/>
      <c r="Q4964" s="12">
        <f>M4964+O4964</f>
        <v>0</v>
      </c>
      <c r="T4964" s="11"/>
      <c r="U4964" s="9"/>
      <c r="V4964" s="27"/>
    </row>
    <row r="4965" spans="1:22" ht="11.85" customHeight="1" x14ac:dyDescent="0.2">
      <c r="A4965" s="3" t="s">
        <v>328</v>
      </c>
      <c r="C4965" s="2">
        <f>SUM(C4953:C4964)</f>
        <v>27048.799999999996</v>
      </c>
      <c r="E4965" s="2">
        <f>SUM(E4953:E4964)</f>
        <v>20142.150000000001</v>
      </c>
      <c r="G4965" s="2">
        <f>SUM(G4953:G4964)</f>
        <v>16174.71</v>
      </c>
      <c r="I4965" s="2">
        <f>SUM(I4953:I4964)</f>
        <v>25470</v>
      </c>
      <c r="K4965" s="2">
        <f>SUM(K4953:K4964)</f>
        <v>25470</v>
      </c>
      <c r="L4965" s="9"/>
      <c r="M4965" s="37">
        <f>SUM(M4953:M4964)</f>
        <v>25800</v>
      </c>
      <c r="N4965" s="9"/>
      <c r="O4965" s="37">
        <f>SUM(O4953:O4964)</f>
        <v>0</v>
      </c>
      <c r="P4965" s="9"/>
      <c r="Q4965" s="37">
        <f>SUM(Q4953:Q4964)</f>
        <v>25800</v>
      </c>
      <c r="T4965" s="14"/>
    </row>
    <row r="4966" spans="1:22" ht="11.85" customHeight="1" x14ac:dyDescent="0.2">
      <c r="L4966" s="9"/>
      <c r="N4966" s="9"/>
      <c r="P4966" s="9"/>
    </row>
    <row r="4967" spans="1:22" ht="11.85" customHeight="1" x14ac:dyDescent="0.2">
      <c r="A4967" s="3" t="s">
        <v>1941</v>
      </c>
      <c r="C4967" s="2">
        <v>0</v>
      </c>
      <c r="E4967" s="2">
        <v>0</v>
      </c>
      <c r="G4967" s="2">
        <v>0</v>
      </c>
      <c r="I4967" s="2">
        <v>0</v>
      </c>
      <c r="K4967" s="2">
        <v>0</v>
      </c>
      <c r="L4967" s="9"/>
      <c r="M4967" s="2">
        <v>0</v>
      </c>
      <c r="N4967" s="9"/>
      <c r="O4967" s="2">
        <v>0</v>
      </c>
      <c r="P4967" s="9"/>
      <c r="Q4967" s="2">
        <f>M4967+O4967</f>
        <v>0</v>
      </c>
      <c r="T4967" s="11"/>
    </row>
    <row r="4968" spans="1:22" ht="11.85" customHeight="1" x14ac:dyDescent="0.2">
      <c r="A4968" s="3" t="s">
        <v>1942</v>
      </c>
      <c r="C4968" s="12">
        <v>0</v>
      </c>
      <c r="E4968" s="12">
        <v>0</v>
      </c>
      <c r="G4968" s="12">
        <v>0</v>
      </c>
      <c r="I4968" s="12">
        <v>0</v>
      </c>
      <c r="K4968" s="12">
        <v>0</v>
      </c>
      <c r="L4968" s="9"/>
      <c r="M4968" s="12">
        <v>0</v>
      </c>
      <c r="N4968" s="9"/>
      <c r="O4968" s="12">
        <v>0</v>
      </c>
      <c r="P4968" s="9"/>
      <c r="Q4968" s="12">
        <f>M4968+O4968</f>
        <v>0</v>
      </c>
      <c r="T4968" s="11"/>
    </row>
    <row r="4969" spans="1:22" ht="11.85" customHeight="1" x14ac:dyDescent="0.2">
      <c r="A4969" s="3" t="s">
        <v>331</v>
      </c>
      <c r="C4969" s="2">
        <f>SUM(C4967:C4968)</f>
        <v>0</v>
      </c>
      <c r="E4969" s="2">
        <f>SUM(E4967:E4968)</f>
        <v>0</v>
      </c>
      <c r="G4969" s="2">
        <f>SUM(G4967:G4968)</f>
        <v>0</v>
      </c>
      <c r="I4969" s="2">
        <f>SUM(I4967:I4968)</f>
        <v>0</v>
      </c>
      <c r="K4969" s="2">
        <f>SUM(K4967:K4968)</f>
        <v>0</v>
      </c>
      <c r="L4969" s="9"/>
      <c r="M4969" s="2">
        <f>SUM(M4967:M4968)</f>
        <v>0</v>
      </c>
      <c r="N4969" s="9"/>
      <c r="O4969" s="2">
        <f>SUM(O4967:O4968)</f>
        <v>0</v>
      </c>
      <c r="P4969" s="9"/>
      <c r="Q4969" s="2">
        <f>SUM(Q4967:Q4968)</f>
        <v>0</v>
      </c>
      <c r="T4969" s="11"/>
    </row>
    <row r="4970" spans="1:22" ht="11.85" customHeight="1" x14ac:dyDescent="0.2">
      <c r="L4970" s="9"/>
      <c r="N4970" s="9"/>
      <c r="P4970" s="9"/>
    </row>
    <row r="4971" spans="1:22" ht="11.85" customHeight="1" x14ac:dyDescent="0.2">
      <c r="A4971" s="10" t="s">
        <v>332</v>
      </c>
      <c r="L4971" s="9"/>
      <c r="N4971" s="9"/>
      <c r="P4971" s="9"/>
    </row>
    <row r="4972" spans="1:22" ht="11.85" customHeight="1" x14ac:dyDescent="0.2">
      <c r="A4972" s="3" t="s">
        <v>1943</v>
      </c>
      <c r="C4972" s="2">
        <v>20679.599999999999</v>
      </c>
      <c r="E4972" s="2">
        <v>21472.17</v>
      </c>
      <c r="G4972" s="2">
        <v>22295.14</v>
      </c>
      <c r="I4972" s="2">
        <v>3800</v>
      </c>
      <c r="K4972" s="2">
        <v>3800</v>
      </c>
      <c r="L4972" s="9"/>
      <c r="M4972" s="2">
        <v>0</v>
      </c>
      <c r="N4972" s="9"/>
      <c r="O4972" s="2">
        <v>0</v>
      </c>
      <c r="P4972" s="9"/>
      <c r="Q4972" s="2">
        <f>+M4972+O4972</f>
        <v>0</v>
      </c>
    </row>
    <row r="4973" spans="1:22" ht="11.85" customHeight="1" x14ac:dyDescent="0.2">
      <c r="A4973" s="3" t="s">
        <v>1944</v>
      </c>
      <c r="C4973" s="12">
        <v>0</v>
      </c>
      <c r="E4973" s="12">
        <v>0</v>
      </c>
      <c r="G4973" s="12">
        <v>0</v>
      </c>
      <c r="I4973" s="12">
        <v>0</v>
      </c>
      <c r="K4973" s="12">
        <v>0</v>
      </c>
      <c r="L4973" s="9"/>
      <c r="M4973" s="12">
        <v>0</v>
      </c>
      <c r="N4973" s="9"/>
      <c r="O4973" s="12">
        <v>0</v>
      </c>
      <c r="P4973" s="9"/>
      <c r="Q4973" s="12">
        <f>M4973+O4973</f>
        <v>0</v>
      </c>
    </row>
    <row r="4974" spans="1:22" ht="11.85" customHeight="1" x14ac:dyDescent="0.2">
      <c r="A4974" s="3" t="s">
        <v>336</v>
      </c>
      <c r="C4974" s="2">
        <f>SUM(C4972:C4973)</f>
        <v>20679.599999999999</v>
      </c>
      <c r="E4974" s="2">
        <f>SUM(E4972:E4973)</f>
        <v>21472.17</v>
      </c>
      <c r="G4974" s="2">
        <f>SUM(G4972:G4973)</f>
        <v>22295.14</v>
      </c>
      <c r="I4974" s="2">
        <f>SUM(I4972:I4973)</f>
        <v>3800</v>
      </c>
      <c r="K4974" s="2">
        <f>SUM(K4972:K4973)</f>
        <v>3800</v>
      </c>
      <c r="L4974" s="9"/>
      <c r="M4974" s="2">
        <f>SUM(M4972:M4973)</f>
        <v>0</v>
      </c>
      <c r="N4974" s="9"/>
      <c r="O4974" s="2">
        <f>SUM(O4972:O4973)</f>
        <v>0</v>
      </c>
      <c r="P4974" s="9"/>
      <c r="Q4974" s="2">
        <f>SUM(Q4972:Q4973)</f>
        <v>0</v>
      </c>
      <c r="T4974" s="14"/>
      <c r="V4974" s="38"/>
    </row>
    <row r="4975" spans="1:22" ht="11.85" customHeight="1" x14ac:dyDescent="0.2">
      <c r="L4975" s="9"/>
      <c r="N4975" s="9"/>
      <c r="P4975" s="9"/>
      <c r="T4975" s="11"/>
    </row>
    <row r="4976" spans="1:22" ht="11.85" customHeight="1" x14ac:dyDescent="0.2">
      <c r="A4976" s="3" t="s">
        <v>1910</v>
      </c>
      <c r="C4976" s="2">
        <f>+C4965+C4974+C4946+C4969+C4950</f>
        <v>86778.569999999992</v>
      </c>
      <c r="E4976" s="2">
        <f>+E4965+E4974+E4946+E4969+E4950</f>
        <v>80545.11</v>
      </c>
      <c r="G4976" s="2">
        <f>+G4965+G4974+G4946+G4969+G4950</f>
        <v>101669.98</v>
      </c>
      <c r="I4976" s="2">
        <f>+I4965+I4974+I4946+I4969+I4950</f>
        <v>95302</v>
      </c>
      <c r="K4976" s="2">
        <f>+K4965+K4974+K4946+K4969+K4950</f>
        <v>95302</v>
      </c>
      <c r="L4976" s="9"/>
      <c r="M4976" s="2">
        <f>+M4965+M4974+M4946+M4969+M4950</f>
        <v>90868</v>
      </c>
      <c r="N4976" s="9"/>
      <c r="O4976" s="2">
        <f>+O4965+O4974+O4946+O4969+O4950</f>
        <v>0</v>
      </c>
      <c r="P4976" s="9"/>
      <c r="Q4976" s="2">
        <f>+Q4965+Q4974+Q4946+Q4969+Q4950</f>
        <v>90868</v>
      </c>
      <c r="R4976" s="9"/>
      <c r="U4976" s="13"/>
    </row>
    <row r="4977" spans="1:20" ht="11.85" customHeight="1" x14ac:dyDescent="0.2">
      <c r="L4977" s="9"/>
      <c r="N4977" s="9"/>
      <c r="P4977" s="9"/>
      <c r="T4977" s="11"/>
    </row>
    <row r="4978" spans="1:20" ht="11.85" customHeight="1" x14ac:dyDescent="0.2">
      <c r="L4978" s="9"/>
      <c r="N4978" s="9"/>
      <c r="P4978" s="9"/>
    </row>
    <row r="4979" spans="1:20" ht="11.85" customHeight="1" x14ac:dyDescent="0.2">
      <c r="L4979" s="9"/>
      <c r="N4979" s="9"/>
      <c r="P4979" s="9"/>
    </row>
    <row r="4980" spans="1:20" ht="11.85" customHeight="1" x14ac:dyDescent="0.2">
      <c r="L4980" s="9"/>
      <c r="N4980" s="9"/>
      <c r="P4980" s="9"/>
    </row>
    <row r="4981" spans="1:20" ht="11.85" customHeight="1" x14ac:dyDescent="0.2">
      <c r="L4981" s="9"/>
      <c r="N4981" s="9"/>
      <c r="P4981" s="9"/>
    </row>
    <row r="4982" spans="1:20" ht="11.25" customHeight="1" x14ac:dyDescent="0.2">
      <c r="A4982" s="1"/>
      <c r="B4982" s="1"/>
      <c r="E4982" s="2" t="str">
        <f>$E$1</f>
        <v>CITY OF BRADY</v>
      </c>
    </row>
    <row r="4983" spans="1:20" ht="11.25" customHeight="1" x14ac:dyDescent="0.2">
      <c r="E4983" s="2" t="str">
        <f>$E$2</f>
        <v>BUDGET REPORT</v>
      </c>
    </row>
    <row r="4984" spans="1:20" ht="11.25" customHeight="1" x14ac:dyDescent="0.2">
      <c r="E4984" s="2" t="str">
        <f>$E$3</f>
        <v>FISCAL YEAR 2024 - 2025</v>
      </c>
    </row>
    <row r="4985" spans="1:20" ht="11.25" customHeight="1" x14ac:dyDescent="0.2">
      <c r="A4985" s="3" t="s">
        <v>1911</v>
      </c>
    </row>
    <row r="4986" spans="1:20" ht="11.25" customHeight="1" x14ac:dyDescent="0.2"/>
    <row r="4987" spans="1:20" ht="11.25" customHeight="1" x14ac:dyDescent="0.2">
      <c r="I4987" s="53" t="str">
        <f>$I$6</f>
        <v>(----- 2023-2024------)</v>
      </c>
      <c r="J4987" s="53"/>
      <c r="K4987" s="53"/>
      <c r="L4987" s="6"/>
      <c r="M4987" s="54" t="str">
        <f>$M$6</f>
        <v>2024-2025</v>
      </c>
      <c r="N4987" s="54"/>
      <c r="O4987" s="54"/>
      <c r="P4987" s="54"/>
      <c r="Q4987" s="54"/>
    </row>
    <row r="4988" spans="1:20" ht="11.25" customHeight="1" x14ac:dyDescent="0.2">
      <c r="C4988" s="5" t="str">
        <f>$C$7</f>
        <v>2020-2021</v>
      </c>
      <c r="D4988" s="5"/>
      <c r="E4988" s="5" t="str">
        <f>$E$7</f>
        <v>2021-2022</v>
      </c>
      <c r="F4988" s="5"/>
      <c r="G4988" s="5" t="str">
        <f>$G$7</f>
        <v>2022-2023</v>
      </c>
      <c r="H4988" s="5"/>
      <c r="I4988" s="5" t="s">
        <v>9</v>
      </c>
      <c r="J4988" s="5"/>
      <c r="K4988" s="5" t="str">
        <f>+$K$7</f>
        <v>PROJECTED</v>
      </c>
      <c r="L4988" s="6"/>
      <c r="M4988" s="5">
        <f>$M$7</f>
        <v>0</v>
      </c>
      <c r="N4988" s="6"/>
      <c r="O4988" s="5" t="str">
        <f>$O$7</f>
        <v>2024-2025</v>
      </c>
      <c r="P4988" s="6"/>
      <c r="Q4988" s="5" t="str">
        <f>$Q$7</f>
        <v>APPROVED</v>
      </c>
    </row>
    <row r="4989" spans="1:20" ht="11.25" customHeight="1" x14ac:dyDescent="0.2">
      <c r="A4989" s="7" t="s">
        <v>273</v>
      </c>
      <c r="C4989" s="8" t="s">
        <v>12</v>
      </c>
      <c r="D4989" s="5"/>
      <c r="E4989" s="8" t="s">
        <v>12</v>
      </c>
      <c r="F4989" s="5"/>
      <c r="G4989" s="8" t="s">
        <v>12</v>
      </c>
      <c r="H4989" s="5"/>
      <c r="I4989" s="8" t="s">
        <v>13</v>
      </c>
      <c r="J4989" s="5"/>
      <c r="K4989" s="8" t="s">
        <v>13</v>
      </c>
      <c r="L4989" s="6"/>
      <c r="M4989" s="8" t="str">
        <f>$M$8</f>
        <v>BASE</v>
      </c>
      <c r="N4989" s="6"/>
      <c r="O4989" s="8" t="str">
        <f>$O$8</f>
        <v>SUPPLEMENTAL</v>
      </c>
      <c r="P4989" s="6"/>
      <c r="Q4989" s="8" t="str">
        <f>$Q$8</f>
        <v>BUDGET</v>
      </c>
    </row>
    <row r="4990" spans="1:20" s="39" customFormat="1" ht="10.15" customHeight="1" x14ac:dyDescent="0.25">
      <c r="C4990" s="40"/>
      <c r="D4990" s="40"/>
      <c r="E4990" s="40"/>
      <c r="F4990" s="40"/>
      <c r="G4990" s="40"/>
      <c r="H4990" s="40"/>
      <c r="I4990" s="40"/>
      <c r="J4990" s="40"/>
      <c r="K4990" s="40"/>
      <c r="M4990" s="40"/>
      <c r="O4990" s="40"/>
      <c r="Q4990" s="40"/>
      <c r="S4990" s="40"/>
      <c r="T4990" s="4"/>
    </row>
    <row r="4991" spans="1:20" s="39" customFormat="1" ht="11.25" customHeight="1" x14ac:dyDescent="0.25">
      <c r="C4991" s="40"/>
      <c r="D4991" s="40"/>
      <c r="E4991" s="40"/>
      <c r="F4991" s="40"/>
      <c r="G4991" s="40"/>
      <c r="H4991" s="40"/>
      <c r="I4991" s="40"/>
      <c r="J4991" s="40"/>
      <c r="K4991" s="40"/>
      <c r="L4991" s="41"/>
      <c r="M4991" s="40"/>
      <c r="N4991" s="41"/>
      <c r="O4991" s="40"/>
      <c r="P4991" s="41"/>
      <c r="Q4991" s="40"/>
      <c r="S4991" s="40"/>
      <c r="T4991" s="4"/>
    </row>
    <row r="4992" spans="1:20" s="39" customFormat="1" ht="11.25" customHeight="1" thickBot="1" x14ac:dyDescent="0.3">
      <c r="A4992" s="3" t="s">
        <v>1123</v>
      </c>
      <c r="B4992" s="3"/>
      <c r="C4992" s="25">
        <f>+C4976</f>
        <v>86778.569999999992</v>
      </c>
      <c r="D4992" s="2"/>
      <c r="E4992" s="25">
        <f>+E4976</f>
        <v>80545.11</v>
      </c>
      <c r="F4992" s="2"/>
      <c r="G4992" s="25">
        <f>+G4976</f>
        <v>101669.98</v>
      </c>
      <c r="H4992" s="2"/>
      <c r="I4992" s="25">
        <f>+I4976</f>
        <v>95302</v>
      </c>
      <c r="J4992" s="2"/>
      <c r="K4992" s="25">
        <f>+K4976</f>
        <v>95302</v>
      </c>
      <c r="L4992" s="9"/>
      <c r="M4992" s="36">
        <f>+M4976</f>
        <v>90868</v>
      </c>
      <c r="N4992" s="9"/>
      <c r="O4992" s="36">
        <f>+O4976</f>
        <v>0</v>
      </c>
      <c r="P4992" s="9"/>
      <c r="Q4992" s="36">
        <f>+Q4976</f>
        <v>90868</v>
      </c>
      <c r="R4992" s="3"/>
      <c r="S4992" s="40"/>
      <c r="T4992" s="4"/>
    </row>
    <row r="4993" spans="1:20" s="39" customFormat="1" ht="11.25" customHeight="1" thickTop="1" x14ac:dyDescent="0.25">
      <c r="A4993" s="3"/>
      <c r="B4993" s="3"/>
      <c r="C4993" s="9"/>
      <c r="D4993" s="9"/>
      <c r="E4993" s="9"/>
      <c r="F4993" s="9"/>
      <c r="G4993" s="9"/>
      <c r="H4993" s="9"/>
      <c r="I4993" s="9"/>
      <c r="J4993" s="9"/>
      <c r="K4993" s="9"/>
      <c r="L4993" s="9"/>
      <c r="M4993" s="9"/>
      <c r="N4993" s="9"/>
      <c r="O4993" s="9"/>
      <c r="P4993" s="9"/>
      <c r="Q4993" s="9"/>
      <c r="R4993" s="3"/>
      <c r="S4993" s="40"/>
      <c r="T4993" s="4"/>
    </row>
    <row r="4994" spans="1:20" s="39" customFormat="1" ht="11.25" customHeight="1" thickBot="1" x14ac:dyDescent="0.3">
      <c r="A4994" s="3" t="s">
        <v>1124</v>
      </c>
      <c r="B4994" s="3"/>
      <c r="C4994" s="36">
        <f>C4907-C4992</f>
        <v>275.02000000000407</v>
      </c>
      <c r="D4994" s="9"/>
      <c r="E4994" s="36">
        <f>E4907-E4992</f>
        <v>-6191.9400000000023</v>
      </c>
      <c r="F4994" s="9"/>
      <c r="G4994" s="36">
        <f>G4907-G4992</f>
        <v>-27665.679999999993</v>
      </c>
      <c r="H4994" s="9"/>
      <c r="I4994" s="36">
        <f>I4907-I4992</f>
        <v>-21302</v>
      </c>
      <c r="J4994" s="9"/>
      <c r="K4994" s="36">
        <f>K4907-K4992</f>
        <v>-21302</v>
      </c>
      <c r="L4994" s="9"/>
      <c r="M4994" s="36">
        <f>M4907-M4992</f>
        <v>-16868</v>
      </c>
      <c r="N4994" s="9"/>
      <c r="O4994" s="36">
        <f>O4907-O4992</f>
        <v>0</v>
      </c>
      <c r="P4994" s="9"/>
      <c r="Q4994" s="36">
        <f>Q4907-Q4992</f>
        <v>-16868</v>
      </c>
      <c r="R4994" s="3"/>
      <c r="S4994" s="40"/>
      <c r="T4994" s="4"/>
    </row>
    <row r="4995" spans="1:20" s="39" customFormat="1" ht="11.25" customHeight="1" thickTop="1" x14ac:dyDescent="0.25">
      <c r="A4995" s="3"/>
      <c r="B4995" s="3"/>
      <c r="C4995" s="2"/>
      <c r="D4995" s="2"/>
      <c r="E4995" s="2"/>
      <c r="F4995" s="2"/>
      <c r="G4995" s="2"/>
      <c r="H4995" s="2"/>
      <c r="I4995" s="2"/>
      <c r="J4995" s="2"/>
      <c r="K4995" s="2"/>
      <c r="L4995" s="9"/>
      <c r="M4995" s="2"/>
      <c r="N4995" s="9"/>
      <c r="O4995" s="2"/>
      <c r="P4995" s="9"/>
      <c r="Q4995" s="2"/>
      <c r="R4995" s="3"/>
      <c r="S4995" s="40"/>
      <c r="T4995" s="4"/>
    </row>
    <row r="4996" spans="1:20" s="39" customFormat="1" ht="11.25" customHeight="1" x14ac:dyDescent="0.25">
      <c r="A4996" s="3"/>
      <c r="B4996" s="3"/>
      <c r="C4996" s="2"/>
      <c r="D4996" s="2"/>
      <c r="E4996" s="2"/>
      <c r="F4996" s="2"/>
      <c r="G4996" s="2"/>
      <c r="H4996" s="2"/>
      <c r="I4996" s="2"/>
      <c r="J4996" s="2"/>
      <c r="K4996" s="2"/>
      <c r="L4996" s="9"/>
      <c r="M4996" s="2"/>
      <c r="N4996" s="9"/>
      <c r="O4996" s="2"/>
      <c r="P4996" s="9"/>
      <c r="Q4996" s="2"/>
      <c r="R4996" s="3"/>
      <c r="S4996" s="40"/>
      <c r="T4996" s="4"/>
    </row>
    <row r="4997" spans="1:20" s="39" customFormat="1" ht="11.25" customHeight="1" x14ac:dyDescent="0.25">
      <c r="A4997" s="3" t="s">
        <v>1125</v>
      </c>
      <c r="B4997" s="3"/>
      <c r="C4997" s="2"/>
      <c r="D4997" s="2"/>
      <c r="E4997" s="2"/>
      <c r="F4997" s="2"/>
      <c r="G4997" s="2"/>
      <c r="H4997" s="2"/>
      <c r="I4997" s="2"/>
      <c r="J4997" s="2"/>
      <c r="K4997" s="2"/>
      <c r="L4997" s="9"/>
      <c r="M4997" s="2"/>
      <c r="N4997" s="9"/>
      <c r="O4997" s="2"/>
      <c r="P4997" s="9"/>
      <c r="Q4997" s="2"/>
      <c r="R4997" s="3"/>
      <c r="S4997" s="40"/>
      <c r="T4997" s="4"/>
    </row>
    <row r="4998" spans="1:20" s="39" customFormat="1" ht="11.25" customHeight="1" thickBot="1" x14ac:dyDescent="0.3">
      <c r="A4998" s="3" t="s">
        <v>17</v>
      </c>
      <c r="B4998" s="3"/>
      <c r="C4998" s="25">
        <f>C4890+C4907-C4976</f>
        <v>96148.89</v>
      </c>
      <c r="D4998" s="2"/>
      <c r="E4998" s="25">
        <f>E4890+E4907-E4976</f>
        <v>89956.95</v>
      </c>
      <c r="F4998" s="2"/>
      <c r="G4998" s="25">
        <f>G4890+G4907-G4976</f>
        <v>62291.270000000004</v>
      </c>
      <c r="H4998" s="2"/>
      <c r="I4998" s="25">
        <f>I4890+I4907-I4976</f>
        <v>40989.270000000019</v>
      </c>
      <c r="J4998" s="2"/>
      <c r="K4998" s="25">
        <f>K4890+K4907-K4976</f>
        <v>40989.270000000019</v>
      </c>
      <c r="L4998" s="9"/>
      <c r="M4998" s="36">
        <f>M4890+M4907-M4976</f>
        <v>24121.270000000019</v>
      </c>
      <c r="N4998" s="9"/>
      <c r="O4998" s="2"/>
      <c r="P4998" s="9"/>
      <c r="Q4998" s="36">
        <f>Q4890+Q4907-Q4976</f>
        <v>24121.270000000019</v>
      </c>
      <c r="R4998" s="3"/>
      <c r="S4998" s="40"/>
      <c r="T4998" s="4"/>
    </row>
    <row r="4999" spans="1:20" s="39" customFormat="1" ht="11.25" customHeight="1" thickTop="1" x14ac:dyDescent="0.25">
      <c r="A4999" s="3"/>
      <c r="B4999" s="3"/>
      <c r="C4999" s="2"/>
      <c r="D4999" s="2"/>
      <c r="E4999" s="2"/>
      <c r="F4999" s="2"/>
      <c r="G4999" s="2"/>
      <c r="H4999" s="2"/>
      <c r="I4999" s="2"/>
      <c r="J4999" s="2"/>
      <c r="K4999" s="2"/>
      <c r="L4999" s="9"/>
      <c r="M4999" s="2"/>
      <c r="N4999" s="9"/>
      <c r="O4999" s="2"/>
      <c r="P4999" s="9"/>
      <c r="Q4999" s="2"/>
      <c r="R4999" s="3"/>
      <c r="S4999" s="40"/>
      <c r="T4999" s="4"/>
    </row>
    <row r="5000" spans="1:20" s="39" customFormat="1" ht="11.25" customHeight="1" x14ac:dyDescent="0.25">
      <c r="C5000" s="40"/>
      <c r="D5000" s="40"/>
      <c r="E5000" s="40"/>
      <c r="F5000" s="40"/>
      <c r="G5000" s="40"/>
      <c r="H5000" s="40"/>
      <c r="I5000" s="40"/>
      <c r="J5000" s="40"/>
      <c r="K5000" s="40"/>
      <c r="M5000" s="40"/>
      <c r="O5000" s="40"/>
      <c r="Q5000" s="40"/>
      <c r="S5000" s="40"/>
      <c r="T5000" s="4"/>
    </row>
    <row r="5001" spans="1:20" ht="11.25" customHeight="1" x14ac:dyDescent="0.2"/>
    <row r="5002" spans="1:20" ht="11.25" customHeight="1" x14ac:dyDescent="0.2"/>
    <row r="5003" spans="1:20" ht="11.25" customHeight="1" x14ac:dyDescent="0.2"/>
    <row r="5004" spans="1:20" ht="11.25" customHeight="1" x14ac:dyDescent="0.2"/>
    <row r="5005" spans="1:20" ht="11.25" customHeight="1" x14ac:dyDescent="0.2"/>
    <row r="5006" spans="1:20" ht="11.25" customHeight="1" x14ac:dyDescent="0.2"/>
    <row r="5007" spans="1:20" ht="11.25" customHeight="1" x14ac:dyDescent="0.2"/>
    <row r="5008" spans="1:20" ht="11.25" customHeight="1" x14ac:dyDescent="0.2"/>
    <row r="5009" spans="1:17" ht="11.25" customHeight="1" x14ac:dyDescent="0.2"/>
    <row r="5010" spans="1:17" ht="11.25" customHeight="1" x14ac:dyDescent="0.2">
      <c r="A5010" s="1"/>
      <c r="B5010" s="1"/>
      <c r="E5010" s="2" t="str">
        <f>$E$1</f>
        <v>CITY OF BRADY</v>
      </c>
    </row>
    <row r="5011" spans="1:17" ht="11.25" customHeight="1" x14ac:dyDescent="0.2">
      <c r="E5011" s="2" t="str">
        <f>$E$2</f>
        <v>BUDGET REPORT</v>
      </c>
    </row>
    <row r="5012" spans="1:17" ht="11.25" customHeight="1" x14ac:dyDescent="0.2">
      <c r="E5012" s="2" t="str">
        <f>$E$3</f>
        <v>FISCAL YEAR 2024 - 2025</v>
      </c>
    </row>
    <row r="5013" spans="1:17" ht="11.25" customHeight="1" x14ac:dyDescent="0.2">
      <c r="A5013" s="3" t="s">
        <v>1945</v>
      </c>
    </row>
    <row r="5014" spans="1:17" ht="11.25" customHeight="1" x14ac:dyDescent="0.2"/>
    <row r="5015" spans="1:17" ht="11.25" customHeight="1" x14ac:dyDescent="0.2">
      <c r="I5015" s="53" t="str">
        <f>$I$6</f>
        <v>(----- 2023-2024------)</v>
      </c>
      <c r="J5015" s="53"/>
      <c r="K5015" s="53"/>
      <c r="L5015" s="6"/>
      <c r="M5015" s="54" t="str">
        <f>$M$6</f>
        <v>2024-2025</v>
      </c>
      <c r="N5015" s="54"/>
      <c r="O5015" s="54"/>
      <c r="P5015" s="54"/>
      <c r="Q5015" s="54"/>
    </row>
    <row r="5016" spans="1:17" ht="11.25" customHeight="1" x14ac:dyDescent="0.2">
      <c r="C5016" s="5" t="str">
        <f>$C$7</f>
        <v>2020-2021</v>
      </c>
      <c r="D5016" s="5"/>
      <c r="E5016" s="5" t="str">
        <f>$E$7</f>
        <v>2021-2022</v>
      </c>
      <c r="F5016" s="5"/>
      <c r="G5016" s="5" t="str">
        <f>$G$7</f>
        <v>2022-2023</v>
      </c>
      <c r="H5016" s="5"/>
      <c r="I5016" s="5" t="s">
        <v>9</v>
      </c>
      <c r="J5016" s="5"/>
      <c r="K5016" s="5" t="str">
        <f>+$K$7</f>
        <v>PROJECTED</v>
      </c>
      <c r="L5016" s="6"/>
      <c r="M5016" s="5">
        <f>$M$7</f>
        <v>0</v>
      </c>
      <c r="N5016" s="6"/>
      <c r="O5016" s="5" t="str">
        <f>$O$7</f>
        <v>2024-2025</v>
      </c>
      <c r="P5016" s="6"/>
      <c r="Q5016" s="5" t="str">
        <f>$Q$7</f>
        <v>APPROVED</v>
      </c>
    </row>
    <row r="5017" spans="1:17" ht="11.25" customHeight="1" x14ac:dyDescent="0.2">
      <c r="A5017" s="7"/>
      <c r="C5017" s="8" t="s">
        <v>12</v>
      </c>
      <c r="D5017" s="5"/>
      <c r="E5017" s="8" t="s">
        <v>12</v>
      </c>
      <c r="F5017" s="5"/>
      <c r="G5017" s="8" t="s">
        <v>12</v>
      </c>
      <c r="H5017" s="5"/>
      <c r="I5017" s="8" t="s">
        <v>13</v>
      </c>
      <c r="J5017" s="5"/>
      <c r="K5017" s="8" t="s">
        <v>13</v>
      </c>
      <c r="L5017" s="6"/>
      <c r="M5017" s="8" t="str">
        <f>$M$8</f>
        <v>BASE</v>
      </c>
      <c r="N5017" s="6"/>
      <c r="O5017" s="8" t="str">
        <f>$O$8</f>
        <v>SUPPLEMENTAL</v>
      </c>
      <c r="P5017" s="6"/>
      <c r="Q5017" s="8" t="str">
        <f>$Q$8</f>
        <v>BUDGET</v>
      </c>
    </row>
    <row r="5018" spans="1:17" ht="11.25" customHeight="1" x14ac:dyDescent="0.2"/>
    <row r="5019" spans="1:17" ht="11.25" customHeight="1" x14ac:dyDescent="0.2">
      <c r="A5019" s="3" t="s">
        <v>16</v>
      </c>
      <c r="L5019" s="9"/>
      <c r="N5019" s="9"/>
      <c r="P5019" s="9"/>
    </row>
    <row r="5020" spans="1:17" ht="11.25" customHeight="1" x14ac:dyDescent="0.2">
      <c r="A5020" s="3" t="s">
        <v>17</v>
      </c>
      <c r="C5020" s="2">
        <v>0</v>
      </c>
      <c r="E5020" s="2">
        <f>+C5103</f>
        <v>0</v>
      </c>
      <c r="G5020" s="2">
        <f>+E5103</f>
        <v>0</v>
      </c>
      <c r="I5020" s="2">
        <f>+G5103</f>
        <v>0</v>
      </c>
      <c r="K5020" s="2">
        <f>+I5020</f>
        <v>0</v>
      </c>
      <c r="L5020" s="9"/>
      <c r="M5020" s="9">
        <f>+K5103</f>
        <v>200</v>
      </c>
      <c r="N5020" s="9"/>
      <c r="P5020" s="9"/>
      <c r="Q5020" s="2">
        <f>+M5020</f>
        <v>200</v>
      </c>
    </row>
    <row r="5021" spans="1:17" ht="11.25" customHeight="1" x14ac:dyDescent="0.2">
      <c r="L5021" s="9"/>
      <c r="N5021" s="9"/>
      <c r="P5021" s="9"/>
    </row>
    <row r="5022" spans="1:17" ht="11.25" customHeight="1" x14ac:dyDescent="0.2">
      <c r="A5022" s="10" t="s">
        <v>18</v>
      </c>
      <c r="L5022" s="9"/>
      <c r="N5022" s="9"/>
      <c r="P5022" s="9"/>
    </row>
    <row r="5023" spans="1:17" ht="11.25" customHeight="1" x14ac:dyDescent="0.2">
      <c r="L5023" s="9"/>
      <c r="N5023" s="9"/>
      <c r="P5023" s="9"/>
    </row>
    <row r="5024" spans="1:17" ht="11.25" customHeight="1" x14ac:dyDescent="0.2">
      <c r="A5024" s="10" t="s">
        <v>1127</v>
      </c>
      <c r="L5024" s="9"/>
      <c r="N5024" s="9"/>
      <c r="P5024" s="9"/>
    </row>
    <row r="5025" spans="1:17" ht="11.25" customHeight="1" x14ac:dyDescent="0.2">
      <c r="A5025" s="3" t="s">
        <v>1946</v>
      </c>
      <c r="C5025" s="2">
        <v>0</v>
      </c>
      <c r="E5025" s="2">
        <v>0</v>
      </c>
      <c r="G5025" s="2">
        <v>0</v>
      </c>
      <c r="I5025" s="2">
        <v>1116252</v>
      </c>
      <c r="K5025" s="2">
        <v>1116252</v>
      </c>
      <c r="L5025" s="9"/>
      <c r="M5025" s="2">
        <v>1025000</v>
      </c>
      <c r="N5025" s="9"/>
      <c r="O5025" s="2">
        <v>0</v>
      </c>
      <c r="P5025" s="9"/>
      <c r="Q5025" s="2">
        <f>+M5025+O5025</f>
        <v>1025000</v>
      </c>
    </row>
    <row r="5026" spans="1:17" ht="11.25" customHeight="1" x14ac:dyDescent="0.2">
      <c r="A5026" s="3" t="s">
        <v>1947</v>
      </c>
      <c r="C5026" s="12">
        <v>0</v>
      </c>
      <c r="E5026" s="12">
        <v>0</v>
      </c>
      <c r="G5026" s="12">
        <v>0</v>
      </c>
      <c r="I5026" s="12">
        <v>200</v>
      </c>
      <c r="K5026" s="12">
        <v>200</v>
      </c>
      <c r="L5026" s="9"/>
      <c r="M5026" s="12">
        <v>1000</v>
      </c>
      <c r="N5026" s="9"/>
      <c r="O5026" s="12">
        <v>0</v>
      </c>
      <c r="P5026" s="9"/>
      <c r="Q5026" s="12">
        <f>+M5026+O5026</f>
        <v>1000</v>
      </c>
    </row>
    <row r="5027" spans="1:17" ht="11.25" hidden="1" customHeight="1" x14ac:dyDescent="0.2">
      <c r="A5027" s="3" t="s">
        <v>1948</v>
      </c>
      <c r="C5027" s="12">
        <v>0</v>
      </c>
      <c r="E5027" s="12">
        <v>0</v>
      </c>
      <c r="G5027" s="12">
        <v>0</v>
      </c>
      <c r="I5027" s="12">
        <v>0</v>
      </c>
      <c r="K5027" s="12">
        <v>0</v>
      </c>
      <c r="L5027" s="9"/>
      <c r="M5027" s="12">
        <v>0</v>
      </c>
      <c r="N5027" s="9"/>
      <c r="O5027" s="12">
        <v>0</v>
      </c>
      <c r="P5027" s="9"/>
      <c r="Q5027" s="12">
        <f>+M5027+O5027</f>
        <v>0</v>
      </c>
    </row>
    <row r="5028" spans="1:17" ht="11.25" customHeight="1" x14ac:dyDescent="0.2">
      <c r="A5028" s="3" t="s">
        <v>1130</v>
      </c>
      <c r="C5028" s="2">
        <f>SUM(C5025:C5027)</f>
        <v>0</v>
      </c>
      <c r="E5028" s="2">
        <f>SUM(E5025:E5027)</f>
        <v>0</v>
      </c>
      <c r="G5028" s="2">
        <f>SUM(G5025:G5027)</f>
        <v>0</v>
      </c>
      <c r="I5028" s="2">
        <f>SUM(I5025:I5027)</f>
        <v>1116452</v>
      </c>
      <c r="K5028" s="2">
        <f>SUM(K5025:K5027)</f>
        <v>1116452</v>
      </c>
      <c r="L5028" s="9"/>
      <c r="M5028" s="2">
        <f>SUM(M5025:M5027)</f>
        <v>1026000</v>
      </c>
      <c r="N5028" s="9"/>
      <c r="O5028" s="2">
        <f>SUM(O5025:O5027)</f>
        <v>0</v>
      </c>
      <c r="P5028" s="9"/>
      <c r="Q5028" s="2">
        <f>SUM(Q5025:Q5027)</f>
        <v>1026000</v>
      </c>
    </row>
    <row r="5029" spans="1:17" ht="11.25" customHeight="1" x14ac:dyDescent="0.2">
      <c r="L5029" s="9"/>
      <c r="N5029" s="9"/>
      <c r="P5029" s="9"/>
    </row>
    <row r="5030" spans="1:17" ht="11.85" customHeight="1" x14ac:dyDescent="0.2">
      <c r="A5030" s="10" t="s">
        <v>244</v>
      </c>
      <c r="L5030" s="9"/>
      <c r="N5030" s="9"/>
      <c r="P5030" s="9"/>
    </row>
    <row r="5031" spans="1:17" ht="11.85" customHeight="1" x14ac:dyDescent="0.2">
      <c r="A5031" s="3" t="s">
        <v>1949</v>
      </c>
      <c r="C5031" s="12">
        <v>0</v>
      </c>
      <c r="E5031" s="12">
        <v>0</v>
      </c>
      <c r="G5031" s="12">
        <v>0</v>
      </c>
      <c r="I5031" s="12">
        <v>0</v>
      </c>
      <c r="K5031" s="12">
        <v>0</v>
      </c>
      <c r="L5031" s="9"/>
      <c r="M5031" s="12">
        <v>0</v>
      </c>
      <c r="N5031" s="9"/>
      <c r="O5031" s="12">
        <v>0</v>
      </c>
      <c r="P5031" s="9"/>
      <c r="Q5031" s="12">
        <f>+M5031+O5031</f>
        <v>0</v>
      </c>
    </row>
    <row r="5032" spans="1:17" ht="11.85" customHeight="1" x14ac:dyDescent="0.2">
      <c r="A5032" s="3" t="s">
        <v>258</v>
      </c>
      <c r="C5032" s="2">
        <f>SUM(C5031:C5031)</f>
        <v>0</v>
      </c>
      <c r="E5032" s="2">
        <f>SUM(E5031:E5031)</f>
        <v>0</v>
      </c>
      <c r="G5032" s="2">
        <f>SUM(G5031:G5031)</f>
        <v>0</v>
      </c>
      <c r="I5032" s="2">
        <f>SUM(I5031:I5031)</f>
        <v>0</v>
      </c>
      <c r="K5032" s="2">
        <f>SUM(K5031:K5031)</f>
        <v>0</v>
      </c>
      <c r="L5032" s="9"/>
      <c r="M5032" s="2">
        <f>SUM(M5031:M5031)</f>
        <v>0</v>
      </c>
      <c r="N5032" s="9"/>
      <c r="O5032" s="2">
        <f>SUM(O5031:O5031)</f>
        <v>0</v>
      </c>
      <c r="P5032" s="9"/>
      <c r="Q5032" s="2">
        <f>SUM(Q5031:Q5031)</f>
        <v>0</v>
      </c>
    </row>
    <row r="5033" spans="1:17" ht="11.85" customHeight="1" x14ac:dyDescent="0.2"/>
    <row r="5034" spans="1:17" ht="11.25" customHeight="1" thickBot="1" x14ac:dyDescent="0.25">
      <c r="A5034" s="3" t="s">
        <v>270</v>
      </c>
      <c r="C5034" s="25">
        <f>C5028+C5032</f>
        <v>0</v>
      </c>
      <c r="E5034" s="25">
        <f>E5028+E5032</f>
        <v>0</v>
      </c>
      <c r="G5034" s="25">
        <f>G5028+G5032</f>
        <v>0</v>
      </c>
      <c r="I5034" s="25">
        <f>I5028+I5032</f>
        <v>1116452</v>
      </c>
      <c r="K5034" s="25">
        <f>K5028+K5032</f>
        <v>1116452</v>
      </c>
      <c r="L5034" s="9"/>
      <c r="M5034" s="25">
        <f>M5028+M5032</f>
        <v>1026000</v>
      </c>
      <c r="N5034" s="9"/>
      <c r="O5034" s="25">
        <f>O5028+O5032</f>
        <v>0</v>
      </c>
      <c r="P5034" s="9"/>
      <c r="Q5034" s="25">
        <f>Q5028+Q5032</f>
        <v>1026000</v>
      </c>
    </row>
    <row r="5035" spans="1:17" ht="11.25" customHeight="1" thickTop="1" x14ac:dyDescent="0.2">
      <c r="L5035" s="9"/>
      <c r="N5035" s="9"/>
      <c r="P5035" s="9"/>
    </row>
    <row r="5036" spans="1:17" ht="11.25" customHeight="1" x14ac:dyDescent="0.2">
      <c r="L5036" s="9"/>
      <c r="N5036" s="9"/>
      <c r="P5036" s="9"/>
    </row>
    <row r="5037" spans="1:17" ht="11.25" customHeight="1" x14ac:dyDescent="0.2">
      <c r="A5037" s="3" t="s">
        <v>271</v>
      </c>
      <c r="C5037" s="2">
        <f>C5020+C5034</f>
        <v>0</v>
      </c>
      <c r="E5037" s="2">
        <f>E5020+E5034</f>
        <v>0</v>
      </c>
      <c r="G5037" s="2">
        <f>G5020+G5034</f>
        <v>0</v>
      </c>
      <c r="I5037" s="2">
        <f>I5020+I5034</f>
        <v>1116452</v>
      </c>
      <c r="K5037" s="2">
        <f>K5020+K5034</f>
        <v>1116452</v>
      </c>
      <c r="L5037" s="9"/>
      <c r="M5037" s="2">
        <f>M5020+M5034</f>
        <v>1026200</v>
      </c>
      <c r="N5037" s="9"/>
      <c r="P5037" s="9"/>
      <c r="Q5037" s="2">
        <f>Q5020+Q5034</f>
        <v>1026200</v>
      </c>
    </row>
    <row r="5038" spans="1:17" ht="11.25" customHeight="1" x14ac:dyDescent="0.2"/>
    <row r="5039" spans="1:17" ht="11.85" customHeight="1" x14ac:dyDescent="0.2"/>
    <row r="5040" spans="1:17" ht="11.85" customHeight="1" x14ac:dyDescent="0.2"/>
    <row r="5041" spans="1:5" ht="11.85" customHeight="1" x14ac:dyDescent="0.2"/>
    <row r="5042" spans="1:5" ht="11.85" customHeight="1" x14ac:dyDescent="0.2"/>
    <row r="5043" spans="1:5" ht="11.85" customHeight="1" x14ac:dyDescent="0.2"/>
    <row r="5044" spans="1:5" ht="11.85" customHeight="1" x14ac:dyDescent="0.2"/>
    <row r="5045" spans="1:5" ht="11.85" customHeight="1" x14ac:dyDescent="0.2"/>
    <row r="5046" spans="1:5" ht="11.85" customHeight="1" x14ac:dyDescent="0.2"/>
    <row r="5047" spans="1:5" ht="11.85" customHeight="1" x14ac:dyDescent="0.2"/>
    <row r="5048" spans="1:5" ht="11.85" customHeight="1" x14ac:dyDescent="0.2"/>
    <row r="5049" spans="1:5" ht="11.85" customHeight="1" x14ac:dyDescent="0.2"/>
    <row r="5050" spans="1:5" ht="11.85" customHeight="1" x14ac:dyDescent="0.2"/>
    <row r="5051" spans="1:5" ht="11.85" customHeight="1" x14ac:dyDescent="0.2"/>
    <row r="5052" spans="1:5" ht="11.85" customHeight="1" x14ac:dyDescent="0.2"/>
    <row r="5053" spans="1:5" ht="11.85" customHeight="1" x14ac:dyDescent="0.2"/>
    <row r="5054" spans="1:5" ht="11.85" customHeight="1" x14ac:dyDescent="0.2"/>
    <row r="5055" spans="1:5" ht="11.85" customHeight="1" x14ac:dyDescent="0.2">
      <c r="A5055" s="1"/>
      <c r="B5055" s="1"/>
      <c r="E5055" s="2" t="str">
        <f>$E$1</f>
        <v>CITY OF BRADY</v>
      </c>
    </row>
    <row r="5056" spans="1:5" ht="11.85" customHeight="1" x14ac:dyDescent="0.2">
      <c r="E5056" s="2" t="str">
        <f>$E$2</f>
        <v>BUDGET REPORT</v>
      </c>
    </row>
    <row r="5057" spans="1:17" ht="11.85" customHeight="1" x14ac:dyDescent="0.2">
      <c r="E5057" s="2" t="str">
        <f>$E$3</f>
        <v>FISCAL YEAR 2024 - 2025</v>
      </c>
    </row>
    <row r="5058" spans="1:17" ht="11.85" customHeight="1" x14ac:dyDescent="0.2">
      <c r="A5058" s="3" t="str">
        <f>+A5013</f>
        <v>71- EMPLOYEE BENEFITS TRUST FUND</v>
      </c>
    </row>
    <row r="5059" spans="1:17" ht="11.85" customHeight="1" x14ac:dyDescent="0.2">
      <c r="A5059" s="3" t="s">
        <v>1950</v>
      </c>
    </row>
    <row r="5060" spans="1:17" ht="11.85" customHeight="1" x14ac:dyDescent="0.2">
      <c r="I5060" s="53" t="str">
        <f>$I$6</f>
        <v>(----- 2023-2024------)</v>
      </c>
      <c r="J5060" s="53"/>
      <c r="K5060" s="53"/>
      <c r="L5060" s="6"/>
      <c r="M5060" s="54" t="str">
        <f>$M$6</f>
        <v>2024-2025</v>
      </c>
      <c r="N5060" s="54"/>
      <c r="O5060" s="54"/>
      <c r="P5060" s="54"/>
      <c r="Q5060" s="54"/>
    </row>
    <row r="5061" spans="1:17" ht="11.85" customHeight="1" x14ac:dyDescent="0.2">
      <c r="C5061" s="5" t="str">
        <f>$C$7</f>
        <v>2020-2021</v>
      </c>
      <c r="D5061" s="5"/>
      <c r="E5061" s="5" t="str">
        <f>$E$7</f>
        <v>2021-2022</v>
      </c>
      <c r="F5061" s="5"/>
      <c r="G5061" s="5" t="str">
        <f>$G$7</f>
        <v>2022-2023</v>
      </c>
      <c r="H5061" s="5"/>
      <c r="I5061" s="5" t="s">
        <v>9</v>
      </c>
      <c r="J5061" s="5"/>
      <c r="K5061" s="5" t="str">
        <f>+$K$7</f>
        <v>PROJECTED</v>
      </c>
      <c r="L5061" s="6"/>
      <c r="M5061" s="5">
        <f>$M$7</f>
        <v>0</v>
      </c>
      <c r="N5061" s="6"/>
      <c r="O5061" s="5" t="str">
        <f>$O$7</f>
        <v>2024-2025</v>
      </c>
      <c r="P5061" s="6"/>
      <c r="Q5061" s="5" t="str">
        <f>$Q$7</f>
        <v>APPROVED</v>
      </c>
    </row>
    <row r="5062" spans="1:17" ht="11.85" customHeight="1" x14ac:dyDescent="0.2">
      <c r="A5062" s="7" t="s">
        <v>273</v>
      </c>
      <c r="C5062" s="8" t="s">
        <v>12</v>
      </c>
      <c r="D5062" s="5"/>
      <c r="E5062" s="8" t="s">
        <v>12</v>
      </c>
      <c r="F5062" s="5"/>
      <c r="G5062" s="8" t="s">
        <v>12</v>
      </c>
      <c r="H5062" s="5"/>
      <c r="I5062" s="8" t="s">
        <v>13</v>
      </c>
      <c r="J5062" s="5"/>
      <c r="K5062" s="8" t="s">
        <v>13</v>
      </c>
      <c r="L5062" s="6"/>
      <c r="M5062" s="8" t="str">
        <f>$M$8</f>
        <v>BASE</v>
      </c>
      <c r="N5062" s="6"/>
      <c r="O5062" s="8" t="str">
        <f>$O$8</f>
        <v>SUPPLEMENTAL</v>
      </c>
      <c r="P5062" s="6"/>
      <c r="Q5062" s="8" t="str">
        <f>$Q$8</f>
        <v>BUDGET</v>
      </c>
    </row>
    <row r="5063" spans="1:17" ht="11.85" customHeight="1" x14ac:dyDescent="0.2"/>
    <row r="5064" spans="1:17" ht="11.85" customHeight="1" x14ac:dyDescent="0.2">
      <c r="A5064" s="10" t="s">
        <v>286</v>
      </c>
      <c r="L5064" s="9"/>
      <c r="N5064" s="9"/>
      <c r="P5064" s="9"/>
    </row>
    <row r="5065" spans="1:17" ht="11.85" customHeight="1" x14ac:dyDescent="0.2">
      <c r="A5065" s="10"/>
      <c r="L5065" s="9"/>
      <c r="N5065" s="9"/>
      <c r="P5065" s="9"/>
    </row>
    <row r="5066" spans="1:17" ht="11.85" customHeight="1" x14ac:dyDescent="0.2">
      <c r="A5066" s="3" t="s">
        <v>1951</v>
      </c>
      <c r="C5066" s="12">
        <v>0</v>
      </c>
      <c r="E5066" s="12">
        <v>0</v>
      </c>
      <c r="G5066" s="12">
        <v>0</v>
      </c>
      <c r="I5066" s="12">
        <v>1116252</v>
      </c>
      <c r="K5066" s="12">
        <v>1116252</v>
      </c>
      <c r="L5066" s="9"/>
      <c r="M5066" s="12">
        <v>1025000</v>
      </c>
      <c r="N5066" s="9"/>
      <c r="O5066" s="12">
        <v>0</v>
      </c>
      <c r="P5066" s="9"/>
      <c r="Q5066" s="12">
        <f t="shared" ref="Q5066:Q5072" si="136">+M5066+O5066</f>
        <v>1025000</v>
      </c>
    </row>
    <row r="5067" spans="1:17" ht="11.85" hidden="1" customHeight="1" x14ac:dyDescent="0.2">
      <c r="C5067" s="2">
        <v>0</v>
      </c>
      <c r="E5067" s="2">
        <v>0</v>
      </c>
      <c r="G5067" s="2">
        <v>0</v>
      </c>
      <c r="I5067" s="2">
        <v>0</v>
      </c>
      <c r="K5067" s="2">
        <v>0</v>
      </c>
      <c r="L5067" s="9"/>
      <c r="M5067" s="2">
        <v>0</v>
      </c>
      <c r="N5067" s="9"/>
      <c r="O5067" s="2">
        <v>0</v>
      </c>
      <c r="P5067" s="9"/>
      <c r="Q5067" s="2">
        <f t="shared" si="136"/>
        <v>0</v>
      </c>
    </row>
    <row r="5068" spans="1:17" ht="11.85" hidden="1" customHeight="1" x14ac:dyDescent="0.2">
      <c r="C5068" s="2">
        <v>0</v>
      </c>
      <c r="E5068" s="2">
        <v>0</v>
      </c>
      <c r="G5068" s="2">
        <v>0</v>
      </c>
      <c r="I5068" s="2">
        <v>0</v>
      </c>
      <c r="K5068" s="2">
        <v>0</v>
      </c>
      <c r="L5068" s="9"/>
      <c r="M5068" s="2">
        <v>0</v>
      </c>
      <c r="N5068" s="9"/>
      <c r="O5068" s="2">
        <v>0</v>
      </c>
      <c r="P5068" s="9"/>
      <c r="Q5068" s="2">
        <f t="shared" si="136"/>
        <v>0</v>
      </c>
    </row>
    <row r="5069" spans="1:17" ht="11.85" hidden="1" customHeight="1" x14ac:dyDescent="0.2">
      <c r="C5069" s="12">
        <v>0</v>
      </c>
      <c r="E5069" s="12">
        <v>0</v>
      </c>
      <c r="G5069" s="12">
        <v>0</v>
      </c>
      <c r="I5069" s="12">
        <v>0</v>
      </c>
      <c r="K5069" s="12">
        <v>0</v>
      </c>
      <c r="L5069" s="9"/>
      <c r="M5069" s="12">
        <v>0</v>
      </c>
      <c r="N5069" s="9"/>
      <c r="O5069" s="12">
        <v>0</v>
      </c>
      <c r="P5069" s="9"/>
      <c r="Q5069" s="12">
        <f t="shared" si="136"/>
        <v>0</v>
      </c>
    </row>
    <row r="5070" spans="1:17" ht="11.85" hidden="1" customHeight="1" x14ac:dyDescent="0.2">
      <c r="C5070" s="2">
        <v>0</v>
      </c>
      <c r="E5070" s="2">
        <v>0</v>
      </c>
      <c r="G5070" s="2">
        <v>0</v>
      </c>
      <c r="I5070" s="2">
        <v>0</v>
      </c>
      <c r="K5070" s="2">
        <v>0</v>
      </c>
      <c r="L5070" s="9"/>
      <c r="M5070" s="2">
        <v>0</v>
      </c>
      <c r="N5070" s="9"/>
      <c r="O5070" s="2">
        <v>0</v>
      </c>
      <c r="P5070" s="9"/>
      <c r="Q5070" s="2">
        <f t="shared" si="136"/>
        <v>0</v>
      </c>
    </row>
    <row r="5071" spans="1:17" ht="11.85" hidden="1" customHeight="1" x14ac:dyDescent="0.2">
      <c r="C5071" s="2">
        <v>0</v>
      </c>
      <c r="E5071" s="2">
        <v>0</v>
      </c>
      <c r="G5071" s="2">
        <v>0</v>
      </c>
      <c r="I5071" s="2">
        <v>0</v>
      </c>
      <c r="K5071" s="2">
        <v>0</v>
      </c>
      <c r="L5071" s="9"/>
      <c r="M5071" s="2">
        <v>0</v>
      </c>
      <c r="N5071" s="9"/>
      <c r="O5071" s="2">
        <v>0</v>
      </c>
      <c r="P5071" s="9"/>
      <c r="Q5071" s="2">
        <f t="shared" si="136"/>
        <v>0</v>
      </c>
    </row>
    <row r="5072" spans="1:17" ht="11.85" hidden="1" customHeight="1" x14ac:dyDescent="0.2">
      <c r="C5072" s="12">
        <v>0</v>
      </c>
      <c r="E5072" s="12">
        <v>0</v>
      </c>
      <c r="G5072" s="12">
        <v>0</v>
      </c>
      <c r="I5072" s="12">
        <v>0</v>
      </c>
      <c r="K5072" s="12">
        <v>0</v>
      </c>
      <c r="L5072" s="9"/>
      <c r="M5072" s="12">
        <v>0</v>
      </c>
      <c r="N5072" s="9"/>
      <c r="O5072" s="12">
        <v>0</v>
      </c>
      <c r="P5072" s="9"/>
      <c r="Q5072" s="12">
        <f t="shared" si="136"/>
        <v>0</v>
      </c>
    </row>
    <row r="5073" spans="1:22" ht="11.85" customHeight="1" x14ac:dyDescent="0.2">
      <c r="A5073" s="3" t="s">
        <v>304</v>
      </c>
      <c r="C5073" s="2">
        <f>SUM(C5066:C5072)</f>
        <v>0</v>
      </c>
      <c r="E5073" s="2">
        <f>SUM(E5066:E5072)</f>
        <v>0</v>
      </c>
      <c r="G5073" s="2">
        <f>SUM(G5066:G5072)</f>
        <v>0</v>
      </c>
      <c r="I5073" s="2">
        <f>SUM(I5066:I5072)</f>
        <v>1116252</v>
      </c>
      <c r="K5073" s="2">
        <f>SUM(K5066:K5072)</f>
        <v>1116252</v>
      </c>
      <c r="L5073" s="9"/>
      <c r="M5073" s="37">
        <f>SUM(M5066:M5072)</f>
        <v>1025000</v>
      </c>
      <c r="N5073" s="9"/>
      <c r="O5073" s="9">
        <f>SUM(O5066:O5072)</f>
        <v>0</v>
      </c>
      <c r="P5073" s="9"/>
      <c r="Q5073" s="9">
        <f>SUM(Q5066:Q5072)</f>
        <v>1025000</v>
      </c>
      <c r="U5073" s="9"/>
    </row>
    <row r="5074" spans="1:22" ht="11.85" customHeight="1" x14ac:dyDescent="0.2"/>
    <row r="5075" spans="1:22" ht="11.85" customHeight="1" x14ac:dyDescent="0.2">
      <c r="L5075" s="9"/>
      <c r="N5075" s="9"/>
      <c r="P5075" s="9"/>
    </row>
    <row r="5076" spans="1:22" ht="11.85" hidden="1" customHeight="1" x14ac:dyDescent="0.2">
      <c r="A5076" s="10" t="s">
        <v>332</v>
      </c>
      <c r="L5076" s="9"/>
      <c r="N5076" s="9"/>
      <c r="P5076" s="9"/>
    </row>
    <row r="5077" spans="1:22" ht="11.85" hidden="1" customHeight="1" x14ac:dyDescent="0.2">
      <c r="A5077" s="3" t="s">
        <v>1591</v>
      </c>
      <c r="C5077" s="12">
        <v>0</v>
      </c>
      <c r="E5077" s="12">
        <v>0</v>
      </c>
      <c r="G5077" s="12">
        <v>0</v>
      </c>
      <c r="H5077" s="2">
        <v>0</v>
      </c>
      <c r="I5077" s="12">
        <v>0</v>
      </c>
      <c r="K5077" s="12">
        <v>0</v>
      </c>
      <c r="L5077" s="9"/>
      <c r="M5077" s="12">
        <v>0</v>
      </c>
      <c r="N5077" s="9"/>
      <c r="O5077" s="12">
        <v>0</v>
      </c>
      <c r="P5077" s="9"/>
      <c r="Q5077" s="12">
        <f>M5077+O5077</f>
        <v>0</v>
      </c>
    </row>
    <row r="5078" spans="1:22" ht="11.85" hidden="1" customHeight="1" x14ac:dyDescent="0.2">
      <c r="A5078" s="3" t="s">
        <v>336</v>
      </c>
      <c r="C5078" s="2">
        <f>SUM(C5077:C5077)</f>
        <v>0</v>
      </c>
      <c r="E5078" s="2">
        <f>SUM(E5077:E5077)</f>
        <v>0</v>
      </c>
      <c r="G5078" s="2">
        <f>SUM(G5077:G5077)</f>
        <v>0</v>
      </c>
      <c r="I5078" s="2">
        <f>SUM(I5077:I5077)</f>
        <v>0</v>
      </c>
      <c r="K5078" s="2">
        <f>SUM(K5077:K5077)</f>
        <v>0</v>
      </c>
      <c r="L5078" s="9"/>
      <c r="M5078" s="2">
        <f>SUM(M5077:M5077)</f>
        <v>0</v>
      </c>
      <c r="N5078" s="9"/>
      <c r="O5078" s="2">
        <f>SUM(O5077:O5077)</f>
        <v>0</v>
      </c>
      <c r="P5078" s="9"/>
      <c r="Q5078" s="2">
        <f>SUM(Q5077:Q5077)</f>
        <v>0</v>
      </c>
      <c r="V5078" s="38"/>
    </row>
    <row r="5079" spans="1:22" ht="11.85" customHeight="1" x14ac:dyDescent="0.2">
      <c r="L5079" s="9"/>
      <c r="N5079" s="9"/>
      <c r="P5079" s="9"/>
      <c r="T5079" s="11"/>
    </row>
    <row r="5080" spans="1:22" ht="11.85" customHeight="1" x14ac:dyDescent="0.2">
      <c r="A5080" s="3" t="s">
        <v>1952</v>
      </c>
      <c r="C5080" s="2">
        <f>+C5073+C5078</f>
        <v>0</v>
      </c>
      <c r="E5080" s="2">
        <f>+E5073+E5078</f>
        <v>0</v>
      </c>
      <c r="G5080" s="2">
        <f>+G5073+G5078</f>
        <v>0</v>
      </c>
      <c r="I5080" s="2">
        <f>+I5073+I5078</f>
        <v>1116252</v>
      </c>
      <c r="K5080" s="2">
        <f>+K5073+K5078</f>
        <v>1116252</v>
      </c>
      <c r="L5080" s="9"/>
      <c r="M5080" s="9">
        <f>+M5073+M5078</f>
        <v>1025000</v>
      </c>
      <c r="N5080" s="9"/>
      <c r="O5080" s="9">
        <f>+O5073+O5078</f>
        <v>0</v>
      </c>
      <c r="P5080" s="9"/>
      <c r="Q5080" s="9">
        <f>+Q5073+Q5078</f>
        <v>1025000</v>
      </c>
      <c r="R5080" s="9"/>
      <c r="U5080" s="13"/>
    </row>
    <row r="5081" spans="1:22" ht="11.85" customHeight="1" x14ac:dyDescent="0.2">
      <c r="L5081" s="9"/>
      <c r="N5081" s="9"/>
      <c r="P5081" s="9"/>
      <c r="T5081" s="11"/>
    </row>
    <row r="5082" spans="1:22" ht="11.85" customHeight="1" x14ac:dyDescent="0.2">
      <c r="L5082" s="9"/>
      <c r="N5082" s="9"/>
      <c r="P5082" s="9"/>
    </row>
    <row r="5083" spans="1:22" ht="11.85" customHeight="1" x14ac:dyDescent="0.2">
      <c r="L5083" s="9"/>
      <c r="N5083" s="9"/>
      <c r="P5083" s="9"/>
    </row>
    <row r="5084" spans="1:22" ht="11.85" customHeight="1" x14ac:dyDescent="0.2">
      <c r="L5084" s="9"/>
      <c r="N5084" s="9"/>
      <c r="P5084" s="9"/>
    </row>
    <row r="5085" spans="1:22" ht="11.85" customHeight="1" x14ac:dyDescent="0.2">
      <c r="L5085" s="9"/>
      <c r="N5085" s="9"/>
      <c r="P5085" s="9"/>
    </row>
    <row r="5086" spans="1:22" ht="11.85" customHeight="1" x14ac:dyDescent="0.2">
      <c r="L5086" s="9"/>
      <c r="N5086" s="9"/>
      <c r="P5086" s="9"/>
    </row>
    <row r="5087" spans="1:22" ht="11.25" customHeight="1" x14ac:dyDescent="0.2">
      <c r="A5087" s="1"/>
      <c r="B5087" s="1"/>
      <c r="E5087" s="2" t="str">
        <f>$E$1</f>
        <v>CITY OF BRADY</v>
      </c>
    </row>
    <row r="5088" spans="1:22" ht="11.25" customHeight="1" x14ac:dyDescent="0.2">
      <c r="E5088" s="2" t="str">
        <f>$E$2</f>
        <v>BUDGET REPORT</v>
      </c>
    </row>
    <row r="5089" spans="1:20" ht="11.25" customHeight="1" x14ac:dyDescent="0.2">
      <c r="E5089" s="2" t="str">
        <f>$E$3</f>
        <v>FISCAL YEAR 2024 - 2025</v>
      </c>
    </row>
    <row r="5090" spans="1:20" ht="11.25" customHeight="1" x14ac:dyDescent="0.2">
      <c r="A5090" s="3" t="str">
        <f>+A5013</f>
        <v>71- EMPLOYEE BENEFITS TRUST FUND</v>
      </c>
    </row>
    <row r="5091" spans="1:20" ht="11.25" customHeight="1" x14ac:dyDescent="0.2"/>
    <row r="5092" spans="1:20" ht="11.25" customHeight="1" x14ac:dyDescent="0.2">
      <c r="I5092" s="53" t="str">
        <f>$I$6</f>
        <v>(----- 2023-2024------)</v>
      </c>
      <c r="J5092" s="53"/>
      <c r="K5092" s="53"/>
      <c r="L5092" s="6"/>
      <c r="M5092" s="54" t="str">
        <f>$M$6</f>
        <v>2024-2025</v>
      </c>
      <c r="N5092" s="54"/>
      <c r="O5092" s="54"/>
      <c r="P5092" s="54"/>
      <c r="Q5092" s="54"/>
    </row>
    <row r="5093" spans="1:20" ht="11.25" customHeight="1" x14ac:dyDescent="0.2">
      <c r="C5093" s="5" t="str">
        <f>$C$7</f>
        <v>2020-2021</v>
      </c>
      <c r="D5093" s="5"/>
      <c r="E5093" s="5" t="str">
        <f>$E$7</f>
        <v>2021-2022</v>
      </c>
      <c r="F5093" s="5"/>
      <c r="G5093" s="5" t="str">
        <f>$G$7</f>
        <v>2022-2023</v>
      </c>
      <c r="H5093" s="5"/>
      <c r="I5093" s="5" t="s">
        <v>9</v>
      </c>
      <c r="J5093" s="5"/>
      <c r="K5093" s="5" t="str">
        <f>+$K$7</f>
        <v>PROJECTED</v>
      </c>
      <c r="L5093" s="6"/>
      <c r="M5093" s="5">
        <f>$M$7</f>
        <v>0</v>
      </c>
      <c r="N5093" s="6"/>
      <c r="O5093" s="5" t="str">
        <f>$O$7</f>
        <v>2024-2025</v>
      </c>
      <c r="P5093" s="6"/>
      <c r="Q5093" s="5" t="str">
        <f>$Q$7</f>
        <v>APPROVED</v>
      </c>
    </row>
    <row r="5094" spans="1:20" ht="11.25" customHeight="1" x14ac:dyDescent="0.2">
      <c r="A5094" s="7" t="s">
        <v>273</v>
      </c>
      <c r="C5094" s="8" t="s">
        <v>12</v>
      </c>
      <c r="D5094" s="5"/>
      <c r="E5094" s="8" t="s">
        <v>12</v>
      </c>
      <c r="F5094" s="5"/>
      <c r="G5094" s="8" t="s">
        <v>12</v>
      </c>
      <c r="H5094" s="5"/>
      <c r="I5094" s="8" t="s">
        <v>13</v>
      </c>
      <c r="J5094" s="5"/>
      <c r="K5094" s="8" t="s">
        <v>13</v>
      </c>
      <c r="L5094" s="6"/>
      <c r="M5094" s="8" t="str">
        <f>$M$8</f>
        <v>BASE</v>
      </c>
      <c r="N5094" s="6"/>
      <c r="O5094" s="8" t="str">
        <f>$O$8</f>
        <v>SUPPLEMENTAL</v>
      </c>
      <c r="P5094" s="6"/>
      <c r="Q5094" s="8" t="str">
        <f>$Q$8</f>
        <v>BUDGET</v>
      </c>
    </row>
    <row r="5095" spans="1:20" s="39" customFormat="1" ht="10.15" customHeight="1" x14ac:dyDescent="0.25">
      <c r="C5095" s="40"/>
      <c r="D5095" s="40"/>
      <c r="E5095" s="40"/>
      <c r="F5095" s="40"/>
      <c r="G5095" s="40"/>
      <c r="H5095" s="40"/>
      <c r="I5095" s="40"/>
      <c r="J5095" s="40"/>
      <c r="K5095" s="40"/>
      <c r="M5095" s="40"/>
      <c r="O5095" s="40"/>
      <c r="Q5095" s="40"/>
      <c r="S5095" s="40"/>
      <c r="T5095" s="4"/>
    </row>
    <row r="5096" spans="1:20" s="39" customFormat="1" ht="11.25" customHeight="1" x14ac:dyDescent="0.25">
      <c r="C5096" s="40"/>
      <c r="D5096" s="40"/>
      <c r="E5096" s="40"/>
      <c r="F5096" s="40"/>
      <c r="G5096" s="40"/>
      <c r="H5096" s="40"/>
      <c r="I5096" s="40"/>
      <c r="J5096" s="40"/>
      <c r="K5096" s="40"/>
      <c r="L5096" s="41"/>
      <c r="M5096" s="40"/>
      <c r="N5096" s="41"/>
      <c r="O5096" s="40"/>
      <c r="P5096" s="41"/>
      <c r="Q5096" s="40"/>
      <c r="S5096" s="40"/>
      <c r="T5096" s="4"/>
    </row>
    <row r="5097" spans="1:20" s="39" customFormat="1" ht="11.25" customHeight="1" thickBot="1" x14ac:dyDescent="0.3">
      <c r="A5097" s="3" t="s">
        <v>1123</v>
      </c>
      <c r="B5097" s="3"/>
      <c r="C5097" s="25">
        <f>+C5080</f>
        <v>0</v>
      </c>
      <c r="D5097" s="2"/>
      <c r="E5097" s="25">
        <f>+E5080</f>
        <v>0</v>
      </c>
      <c r="F5097" s="2"/>
      <c r="G5097" s="25">
        <f>+G5080</f>
        <v>0</v>
      </c>
      <c r="H5097" s="2"/>
      <c r="I5097" s="25">
        <f>+I5080</f>
        <v>1116252</v>
      </c>
      <c r="J5097" s="2"/>
      <c r="K5097" s="25">
        <f>+K5080</f>
        <v>1116252</v>
      </c>
      <c r="L5097" s="9"/>
      <c r="M5097" s="36">
        <f>+M5080</f>
        <v>1025000</v>
      </c>
      <c r="N5097" s="9"/>
      <c r="O5097" s="36">
        <f>+O5080</f>
        <v>0</v>
      </c>
      <c r="P5097" s="9"/>
      <c r="Q5097" s="36">
        <f>+Q5080</f>
        <v>1025000</v>
      </c>
      <c r="R5097" s="3"/>
      <c r="S5097" s="40"/>
      <c r="T5097" s="4"/>
    </row>
    <row r="5098" spans="1:20" s="39" customFormat="1" ht="11.25" customHeight="1" thickTop="1" x14ac:dyDescent="0.25">
      <c r="A5098" s="3"/>
      <c r="B5098" s="3"/>
      <c r="C5098" s="2"/>
      <c r="D5098" s="2"/>
      <c r="E5098" s="2"/>
      <c r="F5098" s="2"/>
      <c r="G5098" s="2"/>
      <c r="H5098" s="2"/>
      <c r="I5098" s="2"/>
      <c r="J5098" s="2"/>
      <c r="K5098" s="2"/>
      <c r="L5098" s="9"/>
      <c r="M5098" s="2"/>
      <c r="N5098" s="9"/>
      <c r="O5098" s="2"/>
      <c r="P5098" s="9"/>
      <c r="Q5098" s="2"/>
      <c r="R5098" s="3"/>
      <c r="S5098" s="40"/>
      <c r="T5098" s="4"/>
    </row>
    <row r="5099" spans="1:20" s="39" customFormat="1" ht="11.25" customHeight="1" thickBot="1" x14ac:dyDescent="0.3">
      <c r="A5099" s="3" t="s">
        <v>1124</v>
      </c>
      <c r="B5099" s="3"/>
      <c r="C5099" s="25">
        <f>C5034-C5097</f>
        <v>0</v>
      </c>
      <c r="D5099" s="2"/>
      <c r="E5099" s="25">
        <f>E5034-E5097</f>
        <v>0</v>
      </c>
      <c r="F5099" s="2"/>
      <c r="G5099" s="25">
        <f>G5034-G5097</f>
        <v>0</v>
      </c>
      <c r="H5099" s="2"/>
      <c r="I5099" s="25">
        <f>I5034-I5097</f>
        <v>200</v>
      </c>
      <c r="J5099" s="2"/>
      <c r="K5099" s="25">
        <f>K5034-K5097</f>
        <v>200</v>
      </c>
      <c r="L5099" s="9"/>
      <c r="M5099" s="36">
        <f>M5034-M5097</f>
        <v>1000</v>
      </c>
      <c r="N5099" s="9"/>
      <c r="O5099" s="36">
        <f>O5034-O5097</f>
        <v>0</v>
      </c>
      <c r="P5099" s="9"/>
      <c r="Q5099" s="36">
        <f>Q5034-Q5097</f>
        <v>1000</v>
      </c>
      <c r="R5099" s="3"/>
      <c r="S5099" s="40"/>
      <c r="T5099" s="4"/>
    </row>
    <row r="5100" spans="1:20" s="39" customFormat="1" ht="11.25" customHeight="1" thickTop="1" x14ac:dyDescent="0.25">
      <c r="A5100" s="3"/>
      <c r="B5100" s="3"/>
      <c r="C5100" s="2"/>
      <c r="D5100" s="2"/>
      <c r="E5100" s="2"/>
      <c r="F5100" s="2"/>
      <c r="G5100" s="2"/>
      <c r="H5100" s="2"/>
      <c r="I5100" s="2"/>
      <c r="J5100" s="2"/>
      <c r="K5100" s="2"/>
      <c r="L5100" s="9"/>
      <c r="M5100" s="2"/>
      <c r="N5100" s="9"/>
      <c r="O5100" s="2"/>
      <c r="P5100" s="9"/>
      <c r="Q5100" s="2"/>
      <c r="R5100" s="3"/>
      <c r="S5100" s="40"/>
      <c r="T5100" s="4"/>
    </row>
    <row r="5101" spans="1:20" s="39" customFormat="1" ht="11.25" customHeight="1" x14ac:dyDescent="0.25">
      <c r="A5101" s="3"/>
      <c r="B5101" s="3"/>
      <c r="C5101" s="2"/>
      <c r="D5101" s="2"/>
      <c r="E5101" s="2"/>
      <c r="F5101" s="2"/>
      <c r="G5101" s="2"/>
      <c r="H5101" s="2"/>
      <c r="I5101" s="2"/>
      <c r="J5101" s="2"/>
      <c r="K5101" s="2"/>
      <c r="L5101" s="9"/>
      <c r="M5101" s="2"/>
      <c r="N5101" s="9"/>
      <c r="O5101" s="2"/>
      <c r="P5101" s="9"/>
      <c r="Q5101" s="2"/>
      <c r="R5101" s="3"/>
      <c r="S5101" s="40"/>
      <c r="T5101" s="4"/>
    </row>
    <row r="5102" spans="1:20" s="39" customFormat="1" ht="11.25" customHeight="1" x14ac:dyDescent="0.25">
      <c r="A5102" s="3" t="s">
        <v>1125</v>
      </c>
      <c r="B5102" s="3"/>
      <c r="C5102" s="2"/>
      <c r="D5102" s="2"/>
      <c r="E5102" s="2"/>
      <c r="F5102" s="2"/>
      <c r="G5102" s="2"/>
      <c r="H5102" s="2"/>
      <c r="I5102" s="2"/>
      <c r="J5102" s="2"/>
      <c r="K5102" s="2"/>
      <c r="L5102" s="9"/>
      <c r="M5102" s="2"/>
      <c r="N5102" s="9"/>
      <c r="O5102" s="2"/>
      <c r="P5102" s="9"/>
      <c r="Q5102" s="2"/>
      <c r="R5102" s="3"/>
      <c r="S5102" s="40"/>
      <c r="T5102" s="4"/>
    </row>
    <row r="5103" spans="1:20" s="39" customFormat="1" ht="11.25" customHeight="1" thickBot="1" x14ac:dyDescent="0.3">
      <c r="A5103" s="3" t="s">
        <v>17</v>
      </c>
      <c r="B5103" s="3"/>
      <c r="C5103" s="25">
        <f>C5020+C5034-C5080</f>
        <v>0</v>
      </c>
      <c r="D5103" s="2"/>
      <c r="E5103" s="25">
        <f>E5020+E5034-E5080</f>
        <v>0</v>
      </c>
      <c r="F5103" s="2"/>
      <c r="G5103" s="25">
        <f>G5020+G5034-G5080</f>
        <v>0</v>
      </c>
      <c r="H5103" s="2"/>
      <c r="I5103" s="25">
        <f>I5020+I5034-I5080</f>
        <v>200</v>
      </c>
      <c r="J5103" s="2"/>
      <c r="K5103" s="25">
        <f>K5020+K5034-K5080</f>
        <v>200</v>
      </c>
      <c r="L5103" s="9"/>
      <c r="M5103" s="36">
        <f>M5020+M5034-M5080</f>
        <v>1200</v>
      </c>
      <c r="N5103" s="9"/>
      <c r="O5103" s="2"/>
      <c r="P5103" s="9"/>
      <c r="Q5103" s="36">
        <f>Q5020+Q5034-Q5080</f>
        <v>1200</v>
      </c>
      <c r="R5103" s="3"/>
      <c r="S5103" s="40"/>
      <c r="T5103" s="11"/>
    </row>
    <row r="5104" spans="1:20" s="39" customFormat="1" ht="11.25" customHeight="1" thickTop="1" x14ac:dyDescent="0.25">
      <c r="A5104" s="3"/>
      <c r="B5104" s="3"/>
      <c r="C5104" s="2"/>
      <c r="D5104" s="2"/>
      <c r="E5104" s="2"/>
      <c r="F5104" s="2"/>
      <c r="G5104" s="2"/>
      <c r="H5104" s="2"/>
      <c r="I5104" s="2"/>
      <c r="J5104" s="2"/>
      <c r="K5104" s="2"/>
      <c r="L5104" s="9"/>
      <c r="M5104" s="2"/>
      <c r="N5104" s="9"/>
      <c r="O5104" s="2"/>
      <c r="P5104" s="9"/>
      <c r="Q5104" s="2"/>
      <c r="R5104" s="3"/>
      <c r="S5104" s="40"/>
      <c r="T5104" s="4"/>
    </row>
    <row r="5105" spans="1:20" s="39" customFormat="1" ht="11.25" customHeight="1" x14ac:dyDescent="0.25">
      <c r="C5105" s="40"/>
      <c r="D5105" s="40"/>
      <c r="E5105" s="40"/>
      <c r="F5105" s="40"/>
      <c r="G5105" s="40"/>
      <c r="H5105" s="40"/>
      <c r="I5105" s="40"/>
      <c r="J5105" s="40"/>
      <c r="K5105" s="40"/>
      <c r="M5105" s="40"/>
      <c r="O5105" s="40"/>
      <c r="Q5105" s="40"/>
      <c r="S5105" s="40"/>
      <c r="T5105" s="4"/>
    </row>
    <row r="5106" spans="1:20" s="39" customFormat="1" ht="11.25" customHeight="1" x14ac:dyDescent="0.25">
      <c r="C5106" s="40"/>
      <c r="D5106" s="40"/>
      <c r="E5106" s="40"/>
      <c r="F5106" s="40"/>
      <c r="G5106" s="40"/>
      <c r="H5106" s="40"/>
      <c r="I5106" s="40"/>
      <c r="J5106" s="40"/>
      <c r="K5106" s="40"/>
      <c r="M5106" s="40"/>
      <c r="O5106" s="40"/>
      <c r="Q5106" s="40"/>
      <c r="S5106" s="40"/>
      <c r="T5106" s="4"/>
    </row>
    <row r="5107" spans="1:20" s="39" customFormat="1" ht="11.25" customHeight="1" x14ac:dyDescent="0.25">
      <c r="C5107" s="40"/>
      <c r="D5107" s="40"/>
      <c r="E5107" s="40"/>
      <c r="F5107" s="40"/>
      <c r="G5107" s="40"/>
      <c r="H5107" s="40"/>
      <c r="I5107" s="40"/>
      <c r="J5107" s="40"/>
      <c r="K5107" s="40"/>
      <c r="M5107" s="40"/>
      <c r="O5107" s="40"/>
      <c r="Q5107" s="40"/>
      <c r="S5107" s="40"/>
      <c r="T5107" s="4"/>
    </row>
    <row r="5108" spans="1:20" s="39" customFormat="1" ht="11.25" customHeight="1" x14ac:dyDescent="0.25">
      <c r="C5108" s="40"/>
      <c r="D5108" s="40"/>
      <c r="E5108" s="40"/>
      <c r="F5108" s="40"/>
      <c r="G5108" s="40"/>
      <c r="H5108" s="40"/>
      <c r="I5108" s="40"/>
      <c r="J5108" s="40"/>
      <c r="K5108" s="40"/>
      <c r="M5108" s="40"/>
      <c r="O5108" s="40"/>
      <c r="Q5108" s="40"/>
      <c r="S5108" s="40"/>
      <c r="T5108" s="4"/>
    </row>
    <row r="5109" spans="1:20" s="39" customFormat="1" ht="11.25" customHeight="1" x14ac:dyDescent="0.25">
      <c r="C5109" s="40"/>
      <c r="D5109" s="40"/>
      <c r="E5109" s="40"/>
      <c r="F5109" s="40"/>
      <c r="G5109" s="40"/>
      <c r="H5109" s="40"/>
      <c r="I5109" s="40"/>
      <c r="J5109" s="40"/>
      <c r="K5109" s="40"/>
      <c r="M5109" s="40"/>
      <c r="O5109" s="40"/>
      <c r="Q5109" s="40"/>
      <c r="S5109" s="40"/>
      <c r="T5109" s="4"/>
    </row>
    <row r="5110" spans="1:20" ht="11.85" customHeight="1" x14ac:dyDescent="0.2">
      <c r="A5110" s="1"/>
      <c r="B5110" s="1"/>
      <c r="E5110" s="2" t="str">
        <f>$E$1</f>
        <v>CITY OF BRADY</v>
      </c>
    </row>
    <row r="5111" spans="1:20" ht="11.85" customHeight="1" x14ac:dyDescent="0.2">
      <c r="E5111" s="2" t="str">
        <f>$E$2</f>
        <v>BUDGET REPORT</v>
      </c>
    </row>
    <row r="5112" spans="1:20" ht="11.85" customHeight="1" x14ac:dyDescent="0.2">
      <c r="E5112" s="2" t="str">
        <f>$E$3</f>
        <v>FISCAL YEAR 2024 - 2025</v>
      </c>
    </row>
    <row r="5113" spans="1:20" ht="11.85" customHeight="1" x14ac:dyDescent="0.2">
      <c r="A5113" s="3" t="s">
        <v>1953</v>
      </c>
    </row>
    <row r="5114" spans="1:20" ht="11.85" customHeight="1" x14ac:dyDescent="0.2"/>
    <row r="5115" spans="1:20" ht="11.85" customHeight="1" x14ac:dyDescent="0.2">
      <c r="I5115" s="53" t="str">
        <f>$I$6</f>
        <v>(----- 2023-2024------)</v>
      </c>
      <c r="J5115" s="53"/>
      <c r="K5115" s="53"/>
      <c r="L5115" s="6"/>
      <c r="M5115" s="54" t="str">
        <f>$M$6</f>
        <v>2024-2025</v>
      </c>
      <c r="N5115" s="54"/>
      <c r="O5115" s="54"/>
      <c r="P5115" s="54"/>
      <c r="Q5115" s="54"/>
    </row>
    <row r="5116" spans="1:20" ht="11.85" customHeight="1" x14ac:dyDescent="0.2">
      <c r="C5116" s="5" t="str">
        <f>$C$7</f>
        <v>2020-2021</v>
      </c>
      <c r="D5116" s="5"/>
      <c r="E5116" s="5" t="str">
        <f>$E$7</f>
        <v>2021-2022</v>
      </c>
      <c r="F5116" s="5"/>
      <c r="G5116" s="5" t="str">
        <f>$G$7</f>
        <v>2022-2023</v>
      </c>
      <c r="H5116" s="5"/>
      <c r="I5116" s="5" t="s">
        <v>9</v>
      </c>
      <c r="J5116" s="5"/>
      <c r="K5116" s="5" t="str">
        <f>+$K$7</f>
        <v>PROJECTED</v>
      </c>
      <c r="L5116" s="6"/>
      <c r="M5116" s="5">
        <f>$M$7</f>
        <v>0</v>
      </c>
      <c r="N5116" s="6"/>
      <c r="O5116" s="5" t="str">
        <f>$O$7</f>
        <v>2024-2025</v>
      </c>
      <c r="P5116" s="6"/>
      <c r="Q5116" s="5" t="str">
        <f>$Q$7</f>
        <v>APPROVED</v>
      </c>
    </row>
    <row r="5117" spans="1:20" ht="11.85" customHeight="1" x14ac:dyDescent="0.2">
      <c r="A5117" s="7"/>
      <c r="C5117" s="8" t="s">
        <v>12</v>
      </c>
      <c r="D5117" s="5"/>
      <c r="E5117" s="8" t="s">
        <v>12</v>
      </c>
      <c r="F5117" s="5"/>
      <c r="G5117" s="8" t="s">
        <v>12</v>
      </c>
      <c r="H5117" s="5"/>
      <c r="I5117" s="8" t="s">
        <v>13</v>
      </c>
      <c r="J5117" s="5"/>
      <c r="K5117" s="8" t="s">
        <v>13</v>
      </c>
      <c r="L5117" s="6"/>
      <c r="M5117" s="8" t="str">
        <f>$M$8</f>
        <v>BASE</v>
      </c>
      <c r="N5117" s="6"/>
      <c r="O5117" s="8" t="str">
        <f>$O$8</f>
        <v>SUPPLEMENTAL</v>
      </c>
      <c r="P5117" s="6"/>
      <c r="Q5117" s="8" t="str">
        <f>$Q$8</f>
        <v>BUDGET</v>
      </c>
    </row>
    <row r="5118" spans="1:20" ht="11.85" customHeight="1" x14ac:dyDescent="0.2"/>
    <row r="5119" spans="1:20" ht="11.85" customHeight="1" x14ac:dyDescent="0.2">
      <c r="A5119" s="3" t="s">
        <v>16</v>
      </c>
    </row>
    <row r="5120" spans="1:20" ht="11.85" customHeight="1" x14ac:dyDescent="0.2">
      <c r="A5120" s="3" t="s">
        <v>17</v>
      </c>
      <c r="C5120" s="2">
        <f>131781.91+0.44</f>
        <v>131782.35</v>
      </c>
      <c r="E5120" s="2">
        <f>+C5512</f>
        <v>184860.45000000019</v>
      </c>
      <c r="G5120" s="2">
        <f>+E5512</f>
        <v>248058.25000000023</v>
      </c>
      <c r="I5120" s="2">
        <f>+G5512</f>
        <v>341606.54000000027</v>
      </c>
      <c r="K5120" s="2">
        <f>+I5120</f>
        <v>341606.54000000027</v>
      </c>
      <c r="L5120" s="9"/>
      <c r="M5120" s="2">
        <f>+K5512</f>
        <v>292424.54000000027</v>
      </c>
      <c r="N5120" s="9"/>
      <c r="P5120" s="9"/>
      <c r="Q5120" s="2">
        <f>M5120</f>
        <v>292424.54000000027</v>
      </c>
    </row>
    <row r="5121" spans="1:20" ht="11.85" customHeight="1" x14ac:dyDescent="0.2">
      <c r="L5121" s="9"/>
      <c r="N5121" s="9"/>
      <c r="P5121" s="9"/>
    </row>
    <row r="5122" spans="1:20" ht="11.85" customHeight="1" x14ac:dyDescent="0.2">
      <c r="A5122" s="10" t="s">
        <v>18</v>
      </c>
      <c r="L5122" s="9"/>
      <c r="N5122" s="9"/>
      <c r="P5122" s="9"/>
    </row>
    <row r="5123" spans="1:20" ht="11.85" customHeight="1" x14ac:dyDescent="0.2">
      <c r="L5123" s="9"/>
      <c r="N5123" s="9"/>
      <c r="P5123" s="9"/>
    </row>
    <row r="5124" spans="1:20" ht="11.85" customHeight="1" x14ac:dyDescent="0.2">
      <c r="A5124" s="10" t="s">
        <v>1912</v>
      </c>
      <c r="L5124" s="9"/>
      <c r="N5124" s="9"/>
      <c r="P5124" s="9"/>
    </row>
    <row r="5125" spans="1:20" ht="11.85" hidden="1" customHeight="1" x14ac:dyDescent="0.2">
      <c r="A5125" s="3" t="s">
        <v>1954</v>
      </c>
      <c r="C5125" s="2">
        <v>0</v>
      </c>
      <c r="E5125" s="2">
        <v>0</v>
      </c>
      <c r="G5125" s="2">
        <v>0</v>
      </c>
      <c r="I5125" s="2">
        <v>0</v>
      </c>
      <c r="K5125" s="2">
        <v>0</v>
      </c>
      <c r="L5125" s="9"/>
      <c r="M5125" s="2">
        <v>0</v>
      </c>
      <c r="N5125" s="9"/>
      <c r="O5125" s="2">
        <v>0</v>
      </c>
      <c r="P5125" s="9"/>
      <c r="Q5125" s="2">
        <f>M5125+O5125</f>
        <v>0</v>
      </c>
    </row>
    <row r="5126" spans="1:20" ht="11.85" customHeight="1" x14ac:dyDescent="0.2">
      <c r="A5126" s="3" t="s">
        <v>1955</v>
      </c>
      <c r="C5126" s="2">
        <v>250390.88</v>
      </c>
      <c r="E5126" s="2">
        <v>258241.4</v>
      </c>
      <c r="G5126" s="2">
        <v>278171.07</v>
      </c>
      <c r="I5126" s="2">
        <v>250000</v>
      </c>
      <c r="K5126" s="2">
        <v>250000</v>
      </c>
      <c r="L5126" s="9"/>
      <c r="M5126" s="2">
        <v>265000</v>
      </c>
      <c r="N5126" s="9"/>
      <c r="O5126" s="2">
        <v>0</v>
      </c>
      <c r="P5126" s="9"/>
      <c r="Q5126" s="2">
        <f>M5126+O5126</f>
        <v>265000</v>
      </c>
      <c r="R5126" s="13"/>
    </row>
    <row r="5127" spans="1:20" ht="11.85" hidden="1" customHeight="1" x14ac:dyDescent="0.2">
      <c r="A5127" s="3" t="s">
        <v>1956</v>
      </c>
      <c r="C5127" s="2">
        <v>0</v>
      </c>
      <c r="E5127" s="2">
        <v>0</v>
      </c>
      <c r="G5127" s="2">
        <v>0</v>
      </c>
      <c r="I5127" s="2">
        <v>0</v>
      </c>
      <c r="K5127" s="2">
        <v>0</v>
      </c>
      <c r="L5127" s="9"/>
      <c r="M5127" s="2">
        <v>0</v>
      </c>
      <c r="N5127" s="9"/>
      <c r="O5127" s="2">
        <v>0</v>
      </c>
      <c r="P5127" s="9"/>
      <c r="Q5127" s="2">
        <f>M5127+O5127</f>
        <v>0</v>
      </c>
    </row>
    <row r="5128" spans="1:20" ht="11.85" customHeight="1" x14ac:dyDescent="0.2">
      <c r="A5128" s="3" t="s">
        <v>1957</v>
      </c>
      <c r="C5128" s="2">
        <v>0</v>
      </c>
      <c r="E5128" s="2">
        <v>0</v>
      </c>
      <c r="G5128" s="2">
        <v>0</v>
      </c>
      <c r="I5128" s="2">
        <v>0</v>
      </c>
      <c r="K5128" s="2">
        <v>0</v>
      </c>
      <c r="L5128" s="9"/>
      <c r="M5128" s="2">
        <v>0</v>
      </c>
      <c r="N5128" s="9"/>
      <c r="O5128" s="2">
        <v>0</v>
      </c>
      <c r="P5128" s="9"/>
      <c r="Q5128" s="2">
        <f>M5128+O5128</f>
        <v>0</v>
      </c>
    </row>
    <row r="5129" spans="1:20" ht="11.85" customHeight="1" x14ac:dyDescent="0.2">
      <c r="A5129" s="3" t="s">
        <v>1958</v>
      </c>
      <c r="C5129" s="2">
        <v>0</v>
      </c>
      <c r="E5129" s="2">
        <v>0</v>
      </c>
      <c r="G5129" s="2">
        <v>0</v>
      </c>
      <c r="I5129" s="2">
        <v>0</v>
      </c>
      <c r="K5129" s="2">
        <v>0</v>
      </c>
      <c r="L5129" s="9"/>
      <c r="M5129" s="2">
        <v>0</v>
      </c>
      <c r="N5129" s="9"/>
      <c r="O5129" s="2">
        <v>0</v>
      </c>
      <c r="P5129" s="9"/>
      <c r="Q5129" s="2">
        <f>M5129+O5129</f>
        <v>0</v>
      </c>
      <c r="R5129" s="9"/>
    </row>
    <row r="5130" spans="1:20" ht="6" customHeight="1" x14ac:dyDescent="0.2">
      <c r="L5130" s="9"/>
      <c r="N5130" s="9"/>
      <c r="P5130" s="9"/>
    </row>
    <row r="5131" spans="1:20" ht="11.85" customHeight="1" x14ac:dyDescent="0.2">
      <c r="A5131" s="3" t="s">
        <v>1959</v>
      </c>
      <c r="C5131" s="2">
        <v>0</v>
      </c>
      <c r="E5131" s="2">
        <v>27399.72</v>
      </c>
      <c r="G5131" s="2">
        <v>608</v>
      </c>
      <c r="I5131" s="2">
        <v>600</v>
      </c>
      <c r="K5131" s="2">
        <v>600</v>
      </c>
      <c r="L5131" s="9"/>
      <c r="M5131" s="2">
        <v>600</v>
      </c>
      <c r="N5131" s="9"/>
      <c r="O5131" s="2">
        <v>0</v>
      </c>
      <c r="P5131" s="9"/>
      <c r="Q5131" s="2">
        <f t="shared" ref="Q5131:Q5138" si="137">M5131+O5131</f>
        <v>600</v>
      </c>
      <c r="R5131" s="51"/>
    </row>
    <row r="5132" spans="1:20" ht="11.85" hidden="1" customHeight="1" x14ac:dyDescent="0.2">
      <c r="A5132" s="3" t="s">
        <v>1960</v>
      </c>
      <c r="C5132" s="2">
        <v>0</v>
      </c>
      <c r="E5132" s="2">
        <v>0</v>
      </c>
      <c r="G5132" s="2">
        <v>0</v>
      </c>
      <c r="I5132" s="2">
        <v>0</v>
      </c>
      <c r="K5132" s="2">
        <v>0</v>
      </c>
      <c r="L5132" s="9"/>
      <c r="M5132" s="2">
        <v>0</v>
      </c>
      <c r="N5132" s="9"/>
      <c r="O5132" s="2">
        <v>0</v>
      </c>
      <c r="P5132" s="9"/>
      <c r="Q5132" s="2">
        <f t="shared" si="137"/>
        <v>0</v>
      </c>
    </row>
    <row r="5133" spans="1:20" ht="11.85" customHeight="1" x14ac:dyDescent="0.2">
      <c r="A5133" s="3" t="s">
        <v>1961</v>
      </c>
      <c r="C5133" s="2">
        <v>75797.850000000006</v>
      </c>
      <c r="E5133" s="2">
        <v>77629.03</v>
      </c>
      <c r="G5133" s="2">
        <v>122883.75</v>
      </c>
      <c r="I5133" s="2">
        <v>75000</v>
      </c>
      <c r="K5133" s="2">
        <f>75000+5000</f>
        <v>80000</v>
      </c>
      <c r="L5133" s="9"/>
      <c r="M5133" s="2">
        <v>75000</v>
      </c>
      <c r="N5133" s="9"/>
      <c r="O5133" s="2">
        <v>0</v>
      </c>
      <c r="P5133" s="9"/>
      <c r="Q5133" s="2">
        <f t="shared" si="137"/>
        <v>75000</v>
      </c>
    </row>
    <row r="5134" spans="1:20" ht="11.85" customHeight="1" x14ac:dyDescent="0.2">
      <c r="A5134" s="3" t="s">
        <v>1962</v>
      </c>
      <c r="C5134" s="2">
        <v>8900.2999999999993</v>
      </c>
      <c r="E5134" s="2">
        <v>7806.87</v>
      </c>
      <c r="G5134" s="2">
        <v>15509.51</v>
      </c>
      <c r="I5134" s="2">
        <v>8900</v>
      </c>
      <c r="K5134" s="2">
        <v>8900</v>
      </c>
      <c r="L5134" s="9"/>
      <c r="M5134" s="2">
        <v>5000</v>
      </c>
      <c r="N5134" s="9"/>
      <c r="O5134" s="2">
        <v>0</v>
      </c>
      <c r="P5134" s="9"/>
      <c r="Q5134" s="2">
        <f t="shared" si="137"/>
        <v>5000</v>
      </c>
    </row>
    <row r="5135" spans="1:20" ht="11.85" customHeight="1" x14ac:dyDescent="0.2">
      <c r="A5135" s="3" t="s">
        <v>1963</v>
      </c>
      <c r="C5135" s="2">
        <v>14240.5</v>
      </c>
      <c r="E5135" s="2">
        <v>12322.2</v>
      </c>
      <c r="G5135" s="2">
        <v>16144.48</v>
      </c>
      <c r="I5135" s="2">
        <v>12000</v>
      </c>
      <c r="K5135" s="2">
        <v>12000</v>
      </c>
      <c r="L5135" s="9"/>
      <c r="M5135" s="2">
        <v>15000</v>
      </c>
      <c r="N5135" s="9"/>
      <c r="O5135" s="2">
        <v>0</v>
      </c>
      <c r="P5135" s="9"/>
      <c r="Q5135" s="2">
        <f t="shared" si="137"/>
        <v>15000</v>
      </c>
      <c r="T5135" s="14"/>
    </row>
    <row r="5136" spans="1:20" ht="11.85" customHeight="1" x14ac:dyDescent="0.2">
      <c r="A5136" s="3" t="s">
        <v>1964</v>
      </c>
      <c r="C5136" s="2">
        <v>0</v>
      </c>
      <c r="E5136" s="2">
        <v>0</v>
      </c>
      <c r="G5136" s="2">
        <v>0</v>
      </c>
      <c r="I5136" s="2">
        <v>0</v>
      </c>
      <c r="K5136" s="2">
        <v>0</v>
      </c>
      <c r="L5136" s="9"/>
      <c r="M5136" s="2">
        <v>0</v>
      </c>
      <c r="N5136" s="9"/>
      <c r="O5136" s="2">
        <v>0</v>
      </c>
      <c r="P5136" s="9"/>
      <c r="Q5136" s="2">
        <f t="shared" si="137"/>
        <v>0</v>
      </c>
    </row>
    <row r="5137" spans="1:18" ht="11.85" customHeight="1" x14ac:dyDescent="0.2">
      <c r="A5137" s="3" t="s">
        <v>1965</v>
      </c>
      <c r="C5137" s="2">
        <v>550</v>
      </c>
      <c r="E5137" s="2">
        <v>700</v>
      </c>
      <c r="G5137" s="2">
        <v>0</v>
      </c>
      <c r="I5137" s="2">
        <v>0</v>
      </c>
      <c r="K5137" s="2">
        <v>0</v>
      </c>
      <c r="L5137" s="9"/>
      <c r="M5137" s="2">
        <v>0</v>
      </c>
      <c r="N5137" s="9"/>
      <c r="O5137" s="2">
        <v>0</v>
      </c>
      <c r="P5137" s="9"/>
      <c r="Q5137" s="2">
        <f t="shared" si="137"/>
        <v>0</v>
      </c>
    </row>
    <row r="5138" spans="1:18" ht="11.85" customHeight="1" x14ac:dyDescent="0.2">
      <c r="A5138" s="3" t="s">
        <v>1966</v>
      </c>
      <c r="C5138" s="2">
        <v>6</v>
      </c>
      <c r="E5138" s="2">
        <v>462.26</v>
      </c>
      <c r="G5138" s="2">
        <v>6</v>
      </c>
      <c r="I5138" s="2">
        <v>0</v>
      </c>
      <c r="K5138" s="2">
        <v>0</v>
      </c>
      <c r="L5138" s="9"/>
      <c r="M5138" s="2">
        <v>0</v>
      </c>
      <c r="N5138" s="9"/>
      <c r="O5138" s="2">
        <v>0</v>
      </c>
      <c r="P5138" s="9"/>
      <c r="Q5138" s="2">
        <f t="shared" si="137"/>
        <v>0</v>
      </c>
      <c r="R5138" s="9"/>
    </row>
    <row r="5139" spans="1:18" ht="7.5" customHeight="1" x14ac:dyDescent="0.2">
      <c r="L5139" s="9"/>
      <c r="N5139" s="9"/>
      <c r="P5139" s="9"/>
    </row>
    <row r="5140" spans="1:18" ht="7.5" customHeight="1" x14ac:dyDescent="0.2">
      <c r="L5140" s="9"/>
      <c r="N5140" s="9"/>
      <c r="P5140" s="9"/>
    </row>
    <row r="5141" spans="1:18" ht="11.85" customHeight="1" x14ac:dyDescent="0.2">
      <c r="A5141" s="3" t="s">
        <v>1967</v>
      </c>
      <c r="C5141" s="2">
        <v>0</v>
      </c>
      <c r="E5141" s="2">
        <v>0</v>
      </c>
      <c r="G5141" s="2">
        <v>12713</v>
      </c>
      <c r="I5141" s="2">
        <v>0</v>
      </c>
      <c r="K5141" s="2">
        <v>0</v>
      </c>
      <c r="L5141" s="9"/>
      <c r="M5141" s="2">
        <v>0</v>
      </c>
      <c r="N5141" s="9"/>
      <c r="O5141" s="2">
        <v>0</v>
      </c>
      <c r="P5141" s="9"/>
      <c r="Q5141" s="2">
        <f t="shared" ref="Q5141:Q5174" si="138">M5141+O5141</f>
        <v>0</v>
      </c>
    </row>
    <row r="5142" spans="1:18" ht="11.85" hidden="1" customHeight="1" x14ac:dyDescent="0.2">
      <c r="A5142" s="3" t="s">
        <v>1968</v>
      </c>
      <c r="C5142" s="2">
        <v>0</v>
      </c>
      <c r="E5142" s="2">
        <v>0</v>
      </c>
      <c r="G5142" s="2">
        <v>0</v>
      </c>
      <c r="I5142" s="2">
        <v>0</v>
      </c>
      <c r="K5142" s="2">
        <v>0</v>
      </c>
      <c r="L5142" s="9"/>
      <c r="M5142" s="2">
        <v>0</v>
      </c>
      <c r="N5142" s="9"/>
      <c r="O5142" s="2">
        <v>0</v>
      </c>
      <c r="P5142" s="9"/>
      <c r="Q5142" s="2">
        <f t="shared" si="138"/>
        <v>0</v>
      </c>
    </row>
    <row r="5143" spans="1:18" ht="11.85" hidden="1" customHeight="1" x14ac:dyDescent="0.2">
      <c r="A5143" s="3" t="s">
        <v>1969</v>
      </c>
      <c r="C5143" s="2">
        <v>0</v>
      </c>
      <c r="E5143" s="2">
        <v>0</v>
      </c>
      <c r="G5143" s="2">
        <v>0</v>
      </c>
      <c r="I5143" s="2">
        <v>0</v>
      </c>
      <c r="K5143" s="2">
        <v>0</v>
      </c>
      <c r="L5143" s="9"/>
      <c r="M5143" s="2">
        <v>0</v>
      </c>
      <c r="N5143" s="9"/>
      <c r="O5143" s="2">
        <v>0</v>
      </c>
      <c r="P5143" s="9"/>
      <c r="Q5143" s="2">
        <f t="shared" si="138"/>
        <v>0</v>
      </c>
    </row>
    <row r="5144" spans="1:18" ht="11.85" hidden="1" customHeight="1" x14ac:dyDescent="0.2">
      <c r="A5144" s="3" t="s">
        <v>1970</v>
      </c>
      <c r="C5144" s="2">
        <v>0</v>
      </c>
      <c r="E5144" s="2">
        <v>0</v>
      </c>
      <c r="G5144" s="2">
        <v>0</v>
      </c>
      <c r="I5144" s="2">
        <v>0</v>
      </c>
      <c r="K5144" s="2">
        <v>0</v>
      </c>
      <c r="L5144" s="9"/>
      <c r="M5144" s="2">
        <v>0</v>
      </c>
      <c r="N5144" s="9"/>
      <c r="O5144" s="2">
        <v>0</v>
      </c>
      <c r="P5144" s="9"/>
      <c r="Q5144" s="2">
        <f t="shared" si="138"/>
        <v>0</v>
      </c>
    </row>
    <row r="5145" spans="1:18" ht="11.85" hidden="1" customHeight="1" x14ac:dyDescent="0.2">
      <c r="A5145" s="3" t="s">
        <v>1971</v>
      </c>
      <c r="C5145" s="2">
        <v>0</v>
      </c>
      <c r="E5145" s="2">
        <v>0</v>
      </c>
      <c r="G5145" s="2">
        <v>0</v>
      </c>
      <c r="I5145" s="2">
        <v>0</v>
      </c>
      <c r="K5145" s="2">
        <v>0</v>
      </c>
      <c r="L5145" s="9"/>
      <c r="M5145" s="2">
        <v>0</v>
      </c>
      <c r="N5145" s="9"/>
      <c r="O5145" s="2">
        <v>0</v>
      </c>
      <c r="P5145" s="9"/>
      <c r="Q5145" s="2">
        <f t="shared" si="138"/>
        <v>0</v>
      </c>
    </row>
    <row r="5146" spans="1:18" ht="11.85" hidden="1" customHeight="1" x14ac:dyDescent="0.2">
      <c r="A5146" s="3" t="s">
        <v>1972</v>
      </c>
      <c r="C5146" s="2">
        <v>0</v>
      </c>
      <c r="E5146" s="2">
        <v>0</v>
      </c>
      <c r="G5146" s="2">
        <v>0</v>
      </c>
      <c r="I5146" s="2">
        <v>0</v>
      </c>
      <c r="K5146" s="2">
        <v>0</v>
      </c>
      <c r="L5146" s="9"/>
      <c r="M5146" s="2">
        <v>0</v>
      </c>
      <c r="N5146" s="9"/>
      <c r="O5146" s="2">
        <v>0</v>
      </c>
      <c r="P5146" s="9"/>
      <c r="Q5146" s="2">
        <f t="shared" si="138"/>
        <v>0</v>
      </c>
    </row>
    <row r="5147" spans="1:18" ht="11.85" hidden="1" customHeight="1" x14ac:dyDescent="0.2">
      <c r="A5147" s="3" t="s">
        <v>1973</v>
      </c>
      <c r="C5147" s="2">
        <v>0</v>
      </c>
      <c r="E5147" s="2">
        <v>0</v>
      </c>
      <c r="G5147" s="2">
        <v>0</v>
      </c>
      <c r="I5147" s="2">
        <v>0</v>
      </c>
      <c r="K5147" s="2">
        <v>0</v>
      </c>
      <c r="L5147" s="9"/>
      <c r="M5147" s="2">
        <v>0</v>
      </c>
      <c r="N5147" s="9"/>
      <c r="O5147" s="2">
        <v>0</v>
      </c>
      <c r="P5147" s="9"/>
      <c r="Q5147" s="2">
        <f t="shared" si="138"/>
        <v>0</v>
      </c>
    </row>
    <row r="5148" spans="1:18" ht="11.85" hidden="1" customHeight="1" x14ac:dyDescent="0.2">
      <c r="A5148" s="3" t="s">
        <v>1974</v>
      </c>
      <c r="C5148" s="2">
        <v>0</v>
      </c>
      <c r="E5148" s="2">
        <v>0</v>
      </c>
      <c r="G5148" s="2">
        <v>0</v>
      </c>
      <c r="I5148" s="2">
        <v>0</v>
      </c>
      <c r="K5148" s="2">
        <v>0</v>
      </c>
      <c r="L5148" s="9"/>
      <c r="M5148" s="2">
        <v>0</v>
      </c>
      <c r="N5148" s="9"/>
      <c r="O5148" s="2">
        <v>0</v>
      </c>
      <c r="P5148" s="9"/>
      <c r="Q5148" s="2">
        <f t="shared" si="138"/>
        <v>0</v>
      </c>
    </row>
    <row r="5149" spans="1:18" ht="11.85" customHeight="1" x14ac:dyDescent="0.2">
      <c r="A5149" s="3" t="s">
        <v>1975</v>
      </c>
      <c r="C5149" s="2">
        <v>0</v>
      </c>
      <c r="E5149" s="2">
        <v>0</v>
      </c>
      <c r="G5149" s="2">
        <v>59690</v>
      </c>
      <c r="I5149" s="2">
        <v>720000</v>
      </c>
      <c r="K5149" s="2">
        <v>720000</v>
      </c>
      <c r="L5149" s="9"/>
      <c r="M5149" s="2">
        <v>0</v>
      </c>
      <c r="N5149" s="9"/>
      <c r="O5149" s="2">
        <v>0</v>
      </c>
      <c r="P5149" s="9"/>
      <c r="Q5149" s="2">
        <f t="shared" si="138"/>
        <v>0</v>
      </c>
    </row>
    <row r="5150" spans="1:18" ht="11.85" customHeight="1" x14ac:dyDescent="0.2">
      <c r="A5150" s="3" t="s">
        <v>1976</v>
      </c>
      <c r="C5150" s="2">
        <v>0</v>
      </c>
      <c r="E5150" s="2">
        <v>7990</v>
      </c>
      <c r="G5150" s="2">
        <v>0</v>
      </c>
      <c r="I5150" s="2">
        <v>0</v>
      </c>
      <c r="K5150" s="2">
        <f>22010-22010</f>
        <v>0</v>
      </c>
      <c r="L5150" s="9"/>
      <c r="M5150" s="2">
        <v>0</v>
      </c>
      <c r="N5150" s="9"/>
      <c r="O5150" s="2">
        <v>0</v>
      </c>
      <c r="P5150" s="9"/>
      <c r="Q5150" s="2">
        <f t="shared" si="138"/>
        <v>0</v>
      </c>
    </row>
    <row r="5151" spans="1:18" ht="11.85" customHeight="1" x14ac:dyDescent="0.2">
      <c r="A5151" s="3" t="s">
        <v>1977</v>
      </c>
      <c r="C5151" s="2">
        <v>0</v>
      </c>
      <c r="E5151" s="2">
        <v>0</v>
      </c>
      <c r="G5151" s="2">
        <v>0</v>
      </c>
      <c r="I5151" s="2">
        <v>0</v>
      </c>
      <c r="K5151" s="2">
        <v>0</v>
      </c>
      <c r="L5151" s="9"/>
      <c r="M5151" s="2">
        <v>0</v>
      </c>
      <c r="N5151" s="9"/>
      <c r="O5151" s="2">
        <v>1260000</v>
      </c>
      <c r="P5151" s="9"/>
      <c r="Q5151" s="2">
        <f t="shared" si="138"/>
        <v>1260000</v>
      </c>
    </row>
    <row r="5152" spans="1:18" ht="11.85" customHeight="1" x14ac:dyDescent="0.2">
      <c r="A5152" s="3" t="s">
        <v>1978</v>
      </c>
      <c r="C5152" s="2">
        <v>-12089</v>
      </c>
      <c r="E5152" s="2">
        <v>0</v>
      </c>
      <c r="G5152" s="2">
        <v>0</v>
      </c>
      <c r="I5152" s="2">
        <v>0</v>
      </c>
      <c r="K5152" s="2">
        <v>0</v>
      </c>
      <c r="L5152" s="9"/>
      <c r="M5152" s="2">
        <v>0</v>
      </c>
      <c r="N5152" s="9"/>
      <c r="O5152" s="2">
        <v>0</v>
      </c>
      <c r="P5152" s="9"/>
      <c r="Q5152" s="2">
        <f t="shared" si="138"/>
        <v>0</v>
      </c>
    </row>
    <row r="5153" spans="1:18" ht="11.85" customHeight="1" x14ac:dyDescent="0.2">
      <c r="A5153" s="3" t="s">
        <v>1979</v>
      </c>
      <c r="C5153" s="2">
        <v>4032.5</v>
      </c>
      <c r="E5153" s="2">
        <v>0</v>
      </c>
      <c r="G5153" s="2">
        <v>0</v>
      </c>
      <c r="I5153" s="2">
        <v>0</v>
      </c>
      <c r="K5153" s="2">
        <v>0</v>
      </c>
      <c r="L5153" s="9"/>
      <c r="M5153" s="2">
        <v>0</v>
      </c>
      <c r="N5153" s="9"/>
      <c r="O5153" s="2">
        <v>0</v>
      </c>
      <c r="P5153" s="9"/>
      <c r="Q5153" s="2">
        <f t="shared" si="138"/>
        <v>0</v>
      </c>
    </row>
    <row r="5154" spans="1:18" ht="11.85" hidden="1" customHeight="1" x14ac:dyDescent="0.2">
      <c r="A5154" s="3" t="s">
        <v>1980</v>
      </c>
      <c r="C5154" s="2">
        <v>0</v>
      </c>
      <c r="E5154" s="2">
        <v>0</v>
      </c>
      <c r="G5154" s="2">
        <v>0</v>
      </c>
      <c r="I5154" s="2">
        <v>0</v>
      </c>
      <c r="K5154" s="2">
        <v>0</v>
      </c>
      <c r="L5154" s="9"/>
      <c r="M5154" s="2">
        <v>0</v>
      </c>
      <c r="N5154" s="9"/>
      <c r="O5154" s="2">
        <v>0</v>
      </c>
      <c r="P5154" s="9"/>
      <c r="Q5154" s="2">
        <f t="shared" si="138"/>
        <v>0</v>
      </c>
    </row>
    <row r="5155" spans="1:18" ht="11.85" hidden="1" customHeight="1" x14ac:dyDescent="0.2">
      <c r="A5155" s="3" t="s">
        <v>1981</v>
      </c>
      <c r="C5155" s="2">
        <v>0</v>
      </c>
      <c r="E5155" s="2">
        <v>0</v>
      </c>
      <c r="G5155" s="2">
        <v>0</v>
      </c>
      <c r="I5155" s="2">
        <v>0</v>
      </c>
      <c r="K5155" s="2">
        <v>0</v>
      </c>
      <c r="L5155" s="9"/>
      <c r="M5155" s="2">
        <v>0</v>
      </c>
      <c r="N5155" s="9"/>
      <c r="O5155" s="2">
        <v>0</v>
      </c>
      <c r="P5155" s="9"/>
      <c r="Q5155" s="2">
        <f t="shared" si="138"/>
        <v>0</v>
      </c>
    </row>
    <row r="5156" spans="1:18" ht="11.85" hidden="1" customHeight="1" x14ac:dyDescent="0.2">
      <c r="A5156" s="3" t="s">
        <v>1982</v>
      </c>
      <c r="C5156" s="2">
        <v>0</v>
      </c>
      <c r="E5156" s="2">
        <v>0</v>
      </c>
      <c r="G5156" s="2">
        <v>0</v>
      </c>
      <c r="I5156" s="2">
        <v>0</v>
      </c>
      <c r="K5156" s="2">
        <v>0</v>
      </c>
      <c r="L5156" s="9"/>
      <c r="M5156" s="2">
        <v>0</v>
      </c>
      <c r="N5156" s="9"/>
      <c r="O5156" s="2">
        <v>0</v>
      </c>
      <c r="P5156" s="9"/>
      <c r="Q5156" s="2">
        <f t="shared" si="138"/>
        <v>0</v>
      </c>
    </row>
    <row r="5157" spans="1:18" ht="11.85" hidden="1" customHeight="1" x14ac:dyDescent="0.2">
      <c r="A5157" s="3" t="s">
        <v>1983</v>
      </c>
      <c r="C5157" s="2">
        <v>0</v>
      </c>
      <c r="E5157" s="2">
        <v>0</v>
      </c>
      <c r="G5157" s="2">
        <v>0</v>
      </c>
      <c r="I5157" s="2">
        <v>0</v>
      </c>
      <c r="K5157" s="2">
        <v>0</v>
      </c>
      <c r="L5157" s="9"/>
      <c r="M5157" s="2">
        <v>0</v>
      </c>
      <c r="N5157" s="9"/>
      <c r="O5157" s="2">
        <v>0</v>
      </c>
      <c r="P5157" s="9"/>
      <c r="Q5157" s="2">
        <f t="shared" si="138"/>
        <v>0</v>
      </c>
    </row>
    <row r="5158" spans="1:18" ht="11.85" hidden="1" customHeight="1" x14ac:dyDescent="0.2">
      <c r="A5158" s="3" t="s">
        <v>1984</v>
      </c>
      <c r="C5158" s="2">
        <v>0</v>
      </c>
      <c r="E5158" s="2">
        <v>0</v>
      </c>
      <c r="G5158" s="2">
        <v>0</v>
      </c>
      <c r="I5158" s="2">
        <v>0</v>
      </c>
      <c r="K5158" s="2">
        <v>0</v>
      </c>
      <c r="L5158" s="9"/>
      <c r="M5158" s="2">
        <v>0</v>
      </c>
      <c r="N5158" s="9"/>
      <c r="O5158" s="2">
        <v>0</v>
      </c>
      <c r="P5158" s="9"/>
      <c r="Q5158" s="2">
        <f t="shared" si="138"/>
        <v>0</v>
      </c>
    </row>
    <row r="5159" spans="1:18" ht="11.85" hidden="1" customHeight="1" x14ac:dyDescent="0.2">
      <c r="A5159" s="3" t="s">
        <v>1985</v>
      </c>
      <c r="C5159" s="2">
        <v>0</v>
      </c>
      <c r="E5159" s="2">
        <v>0</v>
      </c>
      <c r="G5159" s="2">
        <v>0</v>
      </c>
      <c r="I5159" s="2">
        <v>0</v>
      </c>
      <c r="K5159" s="2">
        <v>0</v>
      </c>
      <c r="L5159" s="9"/>
      <c r="M5159" s="2">
        <v>0</v>
      </c>
      <c r="N5159" s="9"/>
      <c r="O5159" s="2">
        <v>0</v>
      </c>
      <c r="P5159" s="9"/>
      <c r="Q5159" s="2">
        <f t="shared" si="138"/>
        <v>0</v>
      </c>
    </row>
    <row r="5160" spans="1:18" ht="11.85" hidden="1" customHeight="1" x14ac:dyDescent="0.2">
      <c r="A5160" s="3" t="s">
        <v>1986</v>
      </c>
      <c r="C5160" s="2">
        <v>0</v>
      </c>
      <c r="E5160" s="2">
        <v>0</v>
      </c>
      <c r="G5160" s="2">
        <v>0</v>
      </c>
      <c r="I5160" s="2">
        <v>0</v>
      </c>
      <c r="K5160" s="2">
        <v>0</v>
      </c>
      <c r="L5160" s="9"/>
      <c r="M5160" s="2">
        <v>0</v>
      </c>
      <c r="N5160" s="9"/>
      <c r="O5160" s="2">
        <v>0</v>
      </c>
      <c r="P5160" s="9"/>
      <c r="Q5160" s="2">
        <f t="shared" si="138"/>
        <v>0</v>
      </c>
    </row>
    <row r="5161" spans="1:18" ht="11.85" customHeight="1" x14ac:dyDescent="0.2">
      <c r="A5161" s="3" t="s">
        <v>1987</v>
      </c>
      <c r="C5161" s="2">
        <v>656880.55000000005</v>
      </c>
      <c r="E5161" s="2">
        <v>0</v>
      </c>
      <c r="G5161" s="2">
        <v>658178.75</v>
      </c>
      <c r="I5161" s="2">
        <v>0</v>
      </c>
      <c r="K5161" s="2">
        <v>0</v>
      </c>
      <c r="L5161" s="9"/>
      <c r="M5161" s="2">
        <v>0</v>
      </c>
      <c r="N5161" s="9"/>
      <c r="O5161" s="2">
        <v>0</v>
      </c>
      <c r="P5161" s="9"/>
      <c r="Q5161" s="2">
        <f>M5161+O5161</f>
        <v>0</v>
      </c>
    </row>
    <row r="5162" spans="1:18" ht="11.85" customHeight="1" x14ac:dyDescent="0.2">
      <c r="A5162" s="3" t="s">
        <v>1988</v>
      </c>
      <c r="C5162" s="2">
        <v>0</v>
      </c>
      <c r="E5162" s="2">
        <v>0</v>
      </c>
      <c r="G5162" s="2">
        <v>8626.5499999999993</v>
      </c>
      <c r="I5162" s="2">
        <v>0</v>
      </c>
      <c r="K5162" s="2">
        <v>0</v>
      </c>
      <c r="L5162" s="9"/>
      <c r="M5162" s="2">
        <v>0</v>
      </c>
      <c r="N5162" s="9"/>
      <c r="O5162" s="2">
        <v>0</v>
      </c>
      <c r="P5162" s="9"/>
      <c r="Q5162" s="2">
        <f t="shared" si="138"/>
        <v>0</v>
      </c>
      <c r="R5162" s="52"/>
    </row>
    <row r="5163" spans="1:18" ht="11.85" hidden="1" customHeight="1" x14ac:dyDescent="0.2">
      <c r="A5163" s="3" t="s">
        <v>1989</v>
      </c>
      <c r="C5163" s="2">
        <v>0</v>
      </c>
      <c r="E5163" s="2">
        <v>0</v>
      </c>
      <c r="G5163" s="2">
        <v>0</v>
      </c>
      <c r="I5163" s="2">
        <v>0</v>
      </c>
      <c r="K5163" s="2">
        <v>0</v>
      </c>
      <c r="L5163" s="9"/>
      <c r="M5163" s="2">
        <v>0</v>
      </c>
      <c r="N5163" s="9"/>
      <c r="O5163" s="2">
        <v>0</v>
      </c>
      <c r="P5163" s="9"/>
      <c r="Q5163" s="2">
        <f t="shared" si="138"/>
        <v>0</v>
      </c>
    </row>
    <row r="5164" spans="1:18" ht="11.85" hidden="1" customHeight="1" x14ac:dyDescent="0.2">
      <c r="A5164" s="3" t="s">
        <v>1990</v>
      </c>
      <c r="C5164" s="2">
        <v>0</v>
      </c>
      <c r="E5164" s="2">
        <v>0</v>
      </c>
      <c r="G5164" s="2">
        <v>0</v>
      </c>
      <c r="I5164" s="2">
        <v>0</v>
      </c>
      <c r="K5164" s="2">
        <v>0</v>
      </c>
      <c r="L5164" s="9"/>
      <c r="M5164" s="2">
        <v>0</v>
      </c>
      <c r="N5164" s="9"/>
      <c r="O5164" s="2">
        <v>0</v>
      </c>
      <c r="P5164" s="9"/>
      <c r="Q5164" s="2">
        <f t="shared" si="138"/>
        <v>0</v>
      </c>
    </row>
    <row r="5165" spans="1:18" ht="11.85" hidden="1" customHeight="1" x14ac:dyDescent="0.2">
      <c r="A5165" s="3" t="s">
        <v>1991</v>
      </c>
      <c r="C5165" s="2">
        <v>0</v>
      </c>
      <c r="E5165" s="2">
        <v>0</v>
      </c>
      <c r="G5165" s="2">
        <v>0</v>
      </c>
      <c r="I5165" s="2">
        <v>0</v>
      </c>
      <c r="K5165" s="2">
        <v>0</v>
      </c>
      <c r="L5165" s="9"/>
      <c r="M5165" s="2">
        <v>0</v>
      </c>
      <c r="N5165" s="9"/>
      <c r="O5165" s="2">
        <v>0</v>
      </c>
      <c r="P5165" s="9"/>
      <c r="Q5165" s="2">
        <f t="shared" si="138"/>
        <v>0</v>
      </c>
    </row>
    <row r="5166" spans="1:18" ht="11.85" hidden="1" customHeight="1" x14ac:dyDescent="0.2">
      <c r="A5166" s="3" t="s">
        <v>1992</v>
      </c>
      <c r="C5166" s="2">
        <v>0</v>
      </c>
      <c r="E5166" s="2">
        <v>0</v>
      </c>
      <c r="G5166" s="2">
        <v>0</v>
      </c>
      <c r="I5166" s="2">
        <v>0</v>
      </c>
      <c r="K5166" s="2">
        <v>0</v>
      </c>
      <c r="L5166" s="9"/>
      <c r="M5166" s="2">
        <v>0</v>
      </c>
      <c r="N5166" s="9"/>
      <c r="O5166" s="2">
        <v>0</v>
      </c>
      <c r="P5166" s="9"/>
      <c r="Q5166" s="2">
        <f t="shared" si="138"/>
        <v>0</v>
      </c>
    </row>
    <row r="5167" spans="1:18" ht="11.85" hidden="1" customHeight="1" x14ac:dyDescent="0.2">
      <c r="A5167" s="3" t="s">
        <v>1993</v>
      </c>
      <c r="C5167" s="2">
        <v>0</v>
      </c>
      <c r="E5167" s="2">
        <v>0</v>
      </c>
      <c r="G5167" s="2">
        <v>0</v>
      </c>
      <c r="I5167" s="2">
        <v>0</v>
      </c>
      <c r="K5167" s="2">
        <v>0</v>
      </c>
      <c r="L5167" s="9"/>
      <c r="M5167" s="2">
        <v>0</v>
      </c>
      <c r="N5167" s="9"/>
      <c r="O5167" s="2">
        <v>0</v>
      </c>
      <c r="P5167" s="9"/>
      <c r="Q5167" s="2">
        <f t="shared" si="138"/>
        <v>0</v>
      </c>
    </row>
    <row r="5168" spans="1:18" ht="11.85" hidden="1" customHeight="1" x14ac:dyDescent="0.2">
      <c r="A5168" s="3" t="s">
        <v>1994</v>
      </c>
      <c r="C5168" s="2">
        <v>0</v>
      </c>
      <c r="E5168" s="2">
        <v>0</v>
      </c>
      <c r="G5168" s="2">
        <v>0</v>
      </c>
      <c r="I5168" s="2">
        <v>0</v>
      </c>
      <c r="K5168" s="2">
        <v>0</v>
      </c>
      <c r="L5168" s="9"/>
      <c r="M5168" s="2">
        <v>0</v>
      </c>
      <c r="N5168" s="9"/>
      <c r="O5168" s="2">
        <v>0</v>
      </c>
      <c r="P5168" s="9"/>
      <c r="Q5168" s="2">
        <f t="shared" si="138"/>
        <v>0</v>
      </c>
    </row>
    <row r="5169" spans="1:21" ht="11.85" hidden="1" customHeight="1" x14ac:dyDescent="0.2">
      <c r="A5169" s="3" t="s">
        <v>1995</v>
      </c>
      <c r="C5169" s="2">
        <v>0</v>
      </c>
      <c r="E5169" s="2">
        <v>0</v>
      </c>
      <c r="G5169" s="2">
        <v>0</v>
      </c>
      <c r="I5169" s="2">
        <v>0</v>
      </c>
      <c r="K5169" s="2">
        <v>0</v>
      </c>
      <c r="L5169" s="9"/>
      <c r="M5169" s="2">
        <v>0</v>
      </c>
      <c r="N5169" s="9"/>
      <c r="O5169" s="2">
        <v>0</v>
      </c>
      <c r="P5169" s="9"/>
      <c r="Q5169" s="2">
        <f t="shared" si="138"/>
        <v>0</v>
      </c>
      <c r="R5169" s="9"/>
    </row>
    <row r="5170" spans="1:21" ht="7.9" customHeight="1" x14ac:dyDescent="0.2">
      <c r="C5170" s="12"/>
      <c r="E5170" s="12"/>
      <c r="G5170" s="12"/>
      <c r="I5170" s="12"/>
      <c r="K5170" s="12"/>
      <c r="L5170" s="9"/>
      <c r="M5170" s="12"/>
      <c r="N5170" s="9"/>
      <c r="O5170" s="12"/>
      <c r="P5170" s="9"/>
      <c r="Q5170" s="12"/>
    </row>
    <row r="5171" spans="1:21" ht="10.9" hidden="1" customHeight="1" x14ac:dyDescent="0.2">
      <c r="A5171" s="3" t="s">
        <v>1996</v>
      </c>
      <c r="C5171" s="2">
        <v>0</v>
      </c>
      <c r="E5171" s="2">
        <v>0</v>
      </c>
      <c r="G5171" s="2">
        <v>0</v>
      </c>
      <c r="I5171" s="2">
        <v>0</v>
      </c>
      <c r="K5171" s="2">
        <v>0</v>
      </c>
      <c r="L5171" s="9"/>
      <c r="M5171" s="2">
        <v>0</v>
      </c>
      <c r="N5171" s="9"/>
      <c r="O5171" s="2">
        <v>0</v>
      </c>
      <c r="P5171" s="9"/>
      <c r="Q5171" s="2">
        <f t="shared" si="138"/>
        <v>0</v>
      </c>
    </row>
    <row r="5172" spans="1:21" ht="10.9" hidden="1" customHeight="1" x14ac:dyDescent="0.2">
      <c r="A5172" s="3" t="s">
        <v>1997</v>
      </c>
      <c r="C5172" s="2">
        <v>0</v>
      </c>
      <c r="E5172" s="2">
        <v>0</v>
      </c>
      <c r="G5172" s="2">
        <v>0</v>
      </c>
      <c r="I5172" s="2">
        <v>0</v>
      </c>
      <c r="K5172" s="2">
        <v>0</v>
      </c>
      <c r="L5172" s="9"/>
      <c r="M5172" s="2">
        <v>0</v>
      </c>
      <c r="N5172" s="9"/>
      <c r="O5172" s="2">
        <v>0</v>
      </c>
      <c r="P5172" s="9"/>
      <c r="Q5172" s="2">
        <f t="shared" si="138"/>
        <v>0</v>
      </c>
    </row>
    <row r="5173" spans="1:21" ht="10.15" hidden="1" customHeight="1" x14ac:dyDescent="0.2">
      <c r="A5173" s="3" t="s">
        <v>1998</v>
      </c>
      <c r="C5173" s="2">
        <v>0</v>
      </c>
      <c r="E5173" s="2">
        <v>0</v>
      </c>
      <c r="G5173" s="2">
        <v>0</v>
      </c>
      <c r="I5173" s="2">
        <v>0</v>
      </c>
      <c r="K5173" s="2">
        <v>0</v>
      </c>
      <c r="L5173" s="9"/>
      <c r="M5173" s="2">
        <v>0</v>
      </c>
      <c r="N5173" s="9"/>
      <c r="O5173" s="2">
        <v>0</v>
      </c>
      <c r="P5173" s="9"/>
      <c r="Q5173" s="2">
        <f t="shared" si="138"/>
        <v>0</v>
      </c>
    </row>
    <row r="5174" spans="1:21" ht="10.15" hidden="1" customHeight="1" x14ac:dyDescent="0.2">
      <c r="A5174" s="3" t="s">
        <v>1999</v>
      </c>
      <c r="C5174" s="12">
        <v>0</v>
      </c>
      <c r="E5174" s="12">
        <v>0</v>
      </c>
      <c r="G5174" s="12">
        <v>0</v>
      </c>
      <c r="I5174" s="12">
        <v>0</v>
      </c>
      <c r="K5174" s="12">
        <v>0</v>
      </c>
      <c r="L5174" s="9"/>
      <c r="M5174" s="12">
        <v>0</v>
      </c>
      <c r="N5174" s="9"/>
      <c r="O5174" s="12">
        <v>0</v>
      </c>
      <c r="P5174" s="9"/>
      <c r="Q5174" s="12">
        <f t="shared" si="138"/>
        <v>0</v>
      </c>
      <c r="R5174" s="9"/>
    </row>
    <row r="5175" spans="1:21" ht="11.85" customHeight="1" x14ac:dyDescent="0.2">
      <c r="A5175" s="3" t="s">
        <v>1174</v>
      </c>
      <c r="C5175" s="2">
        <f>SUM(C5125:C5157)+SUM(C5158:C5174)</f>
        <v>998709.58000000007</v>
      </c>
      <c r="E5175" s="2">
        <f>SUM(E5125:E5157)+SUM(E5158:E5174)</f>
        <v>392551.48000000004</v>
      </c>
      <c r="G5175" s="2">
        <f>SUM(G5125:G5157)+SUM(G5158:G5174)</f>
        <v>1172531.1100000001</v>
      </c>
      <c r="I5175" s="2">
        <f>SUM(I5125:I5157)+SUM(I5158:I5174)</f>
        <v>1066500</v>
      </c>
      <c r="K5175" s="2">
        <f>SUM(K5125:K5157)+SUM(K5158:K5174)</f>
        <v>1071500</v>
      </c>
      <c r="L5175" s="9"/>
      <c r="M5175" s="2">
        <f>SUM(M5125:M5157)+SUM(M5158:M5174)</f>
        <v>360600</v>
      </c>
      <c r="N5175" s="9"/>
      <c r="O5175" s="2">
        <f>SUM(O5125:O5157)+SUM(O5158:O5174)</f>
        <v>1260000</v>
      </c>
      <c r="P5175" s="9"/>
      <c r="Q5175" s="2">
        <f>SUM(Q5125:Q5157)+SUM(Q5158:Q5174)</f>
        <v>1620600</v>
      </c>
      <c r="U5175" s="9"/>
    </row>
    <row r="5176" spans="1:21" ht="11.25" customHeight="1" x14ac:dyDescent="0.2"/>
    <row r="5177" spans="1:21" ht="11.25" customHeight="1" x14ac:dyDescent="0.2"/>
    <row r="5178" spans="1:21" ht="11.85" customHeight="1" x14ac:dyDescent="0.2">
      <c r="A5178" s="10" t="s">
        <v>244</v>
      </c>
      <c r="L5178" s="9"/>
      <c r="N5178" s="9"/>
      <c r="P5178" s="9"/>
    </row>
    <row r="5179" spans="1:21" ht="11.85" hidden="1" customHeight="1" x14ac:dyDescent="0.2">
      <c r="A5179" s="3" t="s">
        <v>2000</v>
      </c>
      <c r="C5179" s="2">
        <v>0</v>
      </c>
      <c r="E5179" s="2">
        <v>0</v>
      </c>
      <c r="G5179" s="2">
        <v>0</v>
      </c>
      <c r="I5179" s="2">
        <v>0</v>
      </c>
      <c r="K5179" s="2">
        <v>0</v>
      </c>
      <c r="L5179" s="9"/>
      <c r="M5179" s="2">
        <v>0</v>
      </c>
      <c r="N5179" s="9"/>
      <c r="O5179" s="2">
        <v>0</v>
      </c>
      <c r="P5179" s="9"/>
      <c r="Q5179" s="2">
        <f t="shared" ref="Q5179:Q5186" si="139">+M5179+O5179</f>
        <v>0</v>
      </c>
    </row>
    <row r="5180" spans="1:21" ht="11.85" customHeight="1" x14ac:dyDescent="0.2">
      <c r="A5180" s="3" t="s">
        <v>2001</v>
      </c>
      <c r="C5180" s="2">
        <v>140004</v>
      </c>
      <c r="E5180" s="2">
        <v>150000</v>
      </c>
      <c r="G5180" s="2">
        <v>150204</v>
      </c>
      <c r="I5180" s="2">
        <v>150000</v>
      </c>
      <c r="K5180" s="2">
        <v>150000</v>
      </c>
      <c r="L5180" s="9"/>
      <c r="M5180" s="2">
        <v>140000</v>
      </c>
      <c r="N5180" s="9"/>
      <c r="O5180" s="2">
        <v>0</v>
      </c>
      <c r="P5180" s="9"/>
      <c r="Q5180" s="2">
        <f t="shared" si="139"/>
        <v>140000</v>
      </c>
    </row>
    <row r="5181" spans="1:21" ht="10.5" customHeight="1" x14ac:dyDescent="0.2">
      <c r="A5181" s="3" t="s">
        <v>2002</v>
      </c>
      <c r="C5181" s="2">
        <v>0</v>
      </c>
      <c r="E5181" s="2">
        <v>0</v>
      </c>
      <c r="G5181" s="2">
        <v>0</v>
      </c>
      <c r="I5181" s="2">
        <v>0</v>
      </c>
      <c r="K5181" s="2">
        <v>0</v>
      </c>
      <c r="L5181" s="9"/>
      <c r="M5181" s="2">
        <v>0</v>
      </c>
      <c r="N5181" s="9"/>
      <c r="O5181" s="2">
        <v>0</v>
      </c>
      <c r="P5181" s="9"/>
      <c r="Q5181" s="2">
        <f t="shared" si="139"/>
        <v>0</v>
      </c>
    </row>
    <row r="5182" spans="1:21" ht="10.5" customHeight="1" x14ac:dyDescent="0.2">
      <c r="A5182" s="3" t="s">
        <v>2003</v>
      </c>
      <c r="C5182" s="2">
        <v>0</v>
      </c>
      <c r="E5182" s="2">
        <v>0</v>
      </c>
      <c r="G5182" s="2">
        <v>0</v>
      </c>
      <c r="I5182" s="2">
        <v>0</v>
      </c>
      <c r="K5182" s="2">
        <v>0</v>
      </c>
      <c r="L5182" s="9"/>
      <c r="M5182" s="2">
        <v>0</v>
      </c>
      <c r="N5182" s="9"/>
      <c r="O5182" s="2">
        <v>0</v>
      </c>
      <c r="P5182" s="9"/>
      <c r="Q5182" s="2">
        <f t="shared" si="139"/>
        <v>0</v>
      </c>
    </row>
    <row r="5183" spans="1:21" ht="10.5" customHeight="1" x14ac:dyDescent="0.2">
      <c r="A5183" s="3" t="s">
        <v>2004</v>
      </c>
      <c r="C5183" s="2">
        <v>0</v>
      </c>
      <c r="E5183" s="2">
        <v>0</v>
      </c>
      <c r="G5183" s="2">
        <v>0</v>
      </c>
      <c r="I5183" s="2">
        <v>0</v>
      </c>
      <c r="K5183" s="2">
        <v>0</v>
      </c>
      <c r="L5183" s="9"/>
      <c r="M5183" s="2">
        <v>0</v>
      </c>
      <c r="N5183" s="9"/>
      <c r="O5183" s="2">
        <v>0</v>
      </c>
      <c r="P5183" s="9"/>
      <c r="Q5183" s="2">
        <f t="shared" si="139"/>
        <v>0</v>
      </c>
    </row>
    <row r="5184" spans="1:21" ht="10.5" customHeight="1" x14ac:dyDescent="0.2">
      <c r="A5184" s="3" t="s">
        <v>2005</v>
      </c>
      <c r="C5184" s="2">
        <v>0</v>
      </c>
      <c r="E5184" s="2">
        <v>0</v>
      </c>
      <c r="G5184" s="2">
        <v>0</v>
      </c>
      <c r="I5184" s="2">
        <v>0</v>
      </c>
      <c r="K5184" s="2">
        <v>0</v>
      </c>
      <c r="L5184" s="9"/>
      <c r="M5184" s="2">
        <v>0</v>
      </c>
      <c r="N5184" s="9"/>
      <c r="O5184" s="2">
        <v>0</v>
      </c>
      <c r="P5184" s="9"/>
      <c r="Q5184" s="2">
        <f t="shared" si="139"/>
        <v>0</v>
      </c>
    </row>
    <row r="5185" spans="1:22" ht="10.5" hidden="1" customHeight="1" x14ac:dyDescent="0.2">
      <c r="A5185" s="3" t="s">
        <v>2006</v>
      </c>
      <c r="C5185" s="2">
        <v>0</v>
      </c>
      <c r="E5185" s="2">
        <v>0</v>
      </c>
      <c r="G5185" s="2">
        <v>0</v>
      </c>
      <c r="I5185" s="2">
        <v>0</v>
      </c>
      <c r="K5185" s="2">
        <v>0</v>
      </c>
      <c r="L5185" s="9"/>
      <c r="M5185" s="2">
        <v>0</v>
      </c>
      <c r="N5185" s="9"/>
      <c r="O5185" s="2">
        <v>0</v>
      </c>
      <c r="P5185" s="9"/>
      <c r="Q5185" s="2">
        <f t="shared" si="139"/>
        <v>0</v>
      </c>
    </row>
    <row r="5186" spans="1:22" ht="10.5" customHeight="1" x14ac:dyDescent="0.2">
      <c r="A5186" s="3" t="s">
        <v>2007</v>
      </c>
      <c r="C5186" s="2">
        <v>0</v>
      </c>
      <c r="E5186" s="2">
        <v>0</v>
      </c>
      <c r="G5186" s="2">
        <v>0</v>
      </c>
      <c r="I5186" s="2">
        <v>0</v>
      </c>
      <c r="K5186" s="2">
        <v>0</v>
      </c>
      <c r="L5186" s="9"/>
      <c r="M5186" s="2">
        <v>0</v>
      </c>
      <c r="N5186" s="9"/>
      <c r="O5186" s="2">
        <v>0</v>
      </c>
      <c r="P5186" s="9"/>
      <c r="Q5186" s="2">
        <f t="shared" si="139"/>
        <v>0</v>
      </c>
    </row>
    <row r="5187" spans="1:22" ht="11.85" customHeight="1" x14ac:dyDescent="0.2">
      <c r="A5187" s="3" t="s">
        <v>2008</v>
      </c>
      <c r="C5187" s="12">
        <v>0</v>
      </c>
      <c r="E5187" s="12">
        <v>0</v>
      </c>
      <c r="G5187" s="12">
        <v>0</v>
      </c>
      <c r="I5187" s="12">
        <v>0</v>
      </c>
      <c r="K5187" s="12">
        <v>0</v>
      </c>
      <c r="L5187" s="9"/>
      <c r="M5187" s="12">
        <v>0</v>
      </c>
      <c r="N5187" s="9"/>
      <c r="O5187" s="12">
        <v>0</v>
      </c>
      <c r="P5187" s="9"/>
      <c r="Q5187" s="12">
        <f>M5187+O5187</f>
        <v>0</v>
      </c>
    </row>
    <row r="5188" spans="1:22" ht="11.85" customHeight="1" x14ac:dyDescent="0.2">
      <c r="A5188" s="3" t="s">
        <v>258</v>
      </c>
      <c r="C5188" s="2">
        <f>SUM(C5179:C5187)</f>
        <v>140004</v>
      </c>
      <c r="E5188" s="2">
        <f>SUM(E5179:E5187)</f>
        <v>150000</v>
      </c>
      <c r="G5188" s="2">
        <f>SUM(G5179:G5187)</f>
        <v>150204</v>
      </c>
      <c r="I5188" s="2">
        <f>SUM(I5179:I5187)</f>
        <v>150000</v>
      </c>
      <c r="K5188" s="2">
        <f>SUM(K5179:K5187)</f>
        <v>150000</v>
      </c>
      <c r="L5188" s="9"/>
      <c r="M5188" s="2">
        <f>SUM(M5179:M5187)</f>
        <v>140000</v>
      </c>
      <c r="N5188" s="9"/>
      <c r="O5188" s="2">
        <f>SUM(O5179:O5187)</f>
        <v>0</v>
      </c>
      <c r="P5188" s="9"/>
      <c r="Q5188" s="2">
        <f>SUM(Q5179:Q5187)</f>
        <v>140000</v>
      </c>
    </row>
    <row r="5189" spans="1:22" ht="11.85" customHeight="1" x14ac:dyDescent="0.2">
      <c r="L5189" s="9"/>
      <c r="N5189" s="9"/>
      <c r="P5189" s="9"/>
      <c r="U5189" s="2"/>
    </row>
    <row r="5190" spans="1:22" ht="11.85" customHeight="1" thickBot="1" x14ac:dyDescent="0.25">
      <c r="A5190" s="3" t="s">
        <v>270</v>
      </c>
      <c r="C5190" s="25">
        <f>+C5175+C5188</f>
        <v>1138713.58</v>
      </c>
      <c r="E5190" s="25">
        <f>+E5175+E5188</f>
        <v>542551.48</v>
      </c>
      <c r="G5190" s="25">
        <f>+G5175+G5188</f>
        <v>1322735.1100000001</v>
      </c>
      <c r="I5190" s="25">
        <f>+I5175+I5188</f>
        <v>1216500</v>
      </c>
      <c r="K5190" s="25">
        <f>+K5175+K5188</f>
        <v>1221500</v>
      </c>
      <c r="L5190" s="9"/>
      <c r="M5190" s="25">
        <f>+M5175+M5188</f>
        <v>500600</v>
      </c>
      <c r="N5190" s="9"/>
      <c r="O5190" s="36">
        <f>+O5175+O5188</f>
        <v>1260000</v>
      </c>
      <c r="P5190" s="9"/>
      <c r="Q5190" s="36">
        <f>+Q5175+Q5188</f>
        <v>1760600</v>
      </c>
      <c r="T5190" s="14"/>
      <c r="U5190" s="16"/>
      <c r="V5190" s="9"/>
    </row>
    <row r="5191" spans="1:22" ht="11.85" customHeight="1" thickTop="1" x14ac:dyDescent="0.2">
      <c r="L5191" s="9"/>
      <c r="N5191" s="9"/>
      <c r="P5191" s="9"/>
      <c r="U5191" s="2"/>
    </row>
    <row r="5192" spans="1:22" ht="11.85" customHeight="1" x14ac:dyDescent="0.2">
      <c r="L5192" s="9"/>
      <c r="N5192" s="9"/>
      <c r="P5192" s="9"/>
      <c r="U5192" s="2"/>
    </row>
    <row r="5193" spans="1:22" ht="11.85" customHeight="1" x14ac:dyDescent="0.2">
      <c r="A5193" s="3" t="s">
        <v>271</v>
      </c>
      <c r="C5193" s="2">
        <f>C5120+C5190</f>
        <v>1270495.9300000002</v>
      </c>
      <c r="E5193" s="2">
        <f>E5120+E5190</f>
        <v>727411.93000000017</v>
      </c>
      <c r="G5193" s="2">
        <f>G5120+G5190</f>
        <v>1570793.3600000003</v>
      </c>
      <c r="I5193" s="2">
        <f>I5120+I5190</f>
        <v>1558106.5400000003</v>
      </c>
      <c r="K5193" s="2">
        <f>K5120+K5190</f>
        <v>1563106.5400000003</v>
      </c>
      <c r="L5193" s="9"/>
      <c r="M5193" s="2">
        <f>M5120+M5190</f>
        <v>793024.54000000027</v>
      </c>
      <c r="N5193" s="9"/>
      <c r="P5193" s="9"/>
      <c r="Q5193" s="9">
        <f>Q5120+Q5190</f>
        <v>2053024.5400000003</v>
      </c>
      <c r="U5193" s="2"/>
    </row>
    <row r="5194" spans="1:22" ht="11.85" customHeight="1" x14ac:dyDescent="0.2">
      <c r="L5194" s="9"/>
      <c r="N5194" s="9"/>
      <c r="P5194" s="9"/>
    </row>
    <row r="5195" spans="1:22" ht="11.25" hidden="1" customHeight="1" x14ac:dyDescent="0.2">
      <c r="A5195" s="1"/>
      <c r="B5195" s="1"/>
      <c r="E5195" s="2" t="str">
        <f>$E$1</f>
        <v>CITY OF BRADY</v>
      </c>
    </row>
    <row r="5196" spans="1:22" ht="11.85" hidden="1" customHeight="1" x14ac:dyDescent="0.2">
      <c r="E5196" s="2" t="str">
        <f>$E$2</f>
        <v>BUDGET REPORT</v>
      </c>
    </row>
    <row r="5197" spans="1:22" ht="11.85" hidden="1" customHeight="1" x14ac:dyDescent="0.2">
      <c r="E5197" s="2" t="str">
        <f>$E$3</f>
        <v>FISCAL YEAR 2024 - 2025</v>
      </c>
    </row>
    <row r="5198" spans="1:22" ht="11.85" hidden="1" customHeight="1" x14ac:dyDescent="0.2">
      <c r="A5198" s="3" t="s">
        <v>1953</v>
      </c>
    </row>
    <row r="5199" spans="1:22" ht="11.85" hidden="1" customHeight="1" x14ac:dyDescent="0.2"/>
    <row r="5200" spans="1:22" ht="11.85" hidden="1" customHeight="1" x14ac:dyDescent="0.2">
      <c r="I5200" s="53" t="str">
        <f>$I$6</f>
        <v>(----- 2023-2024------)</v>
      </c>
      <c r="J5200" s="53"/>
      <c r="K5200" s="53"/>
      <c r="L5200" s="6"/>
      <c r="M5200" s="54" t="str">
        <f>$M$6</f>
        <v>2024-2025</v>
      </c>
      <c r="N5200" s="54"/>
      <c r="O5200" s="54"/>
      <c r="P5200" s="54"/>
      <c r="Q5200" s="54"/>
    </row>
    <row r="5201" spans="1:22" ht="11.85" hidden="1" customHeight="1" x14ac:dyDescent="0.2">
      <c r="C5201" s="5" t="str">
        <f>$C$7</f>
        <v>2020-2021</v>
      </c>
      <c r="D5201" s="5"/>
      <c r="E5201" s="5" t="str">
        <f>$E$7</f>
        <v>2021-2022</v>
      </c>
      <c r="F5201" s="5"/>
      <c r="G5201" s="5" t="str">
        <f>$G$7</f>
        <v>2022-2023</v>
      </c>
      <c r="H5201" s="5"/>
      <c r="I5201" s="5" t="s">
        <v>9</v>
      </c>
      <c r="J5201" s="5"/>
      <c r="K5201" s="5" t="str">
        <f>+$K$7</f>
        <v>PROJECTED</v>
      </c>
      <c r="L5201" s="6"/>
      <c r="M5201" s="5">
        <f>$M$7</f>
        <v>0</v>
      </c>
      <c r="N5201" s="6"/>
      <c r="O5201" s="5" t="str">
        <f>$O$7</f>
        <v>2024-2025</v>
      </c>
      <c r="P5201" s="6"/>
      <c r="Q5201" s="5" t="str">
        <f>$Q$7</f>
        <v>APPROVED</v>
      </c>
    </row>
    <row r="5202" spans="1:22" ht="11.85" hidden="1" customHeight="1" x14ac:dyDescent="0.2">
      <c r="A5202" s="7"/>
      <c r="C5202" s="8" t="s">
        <v>12</v>
      </c>
      <c r="D5202" s="5"/>
      <c r="E5202" s="8" t="s">
        <v>12</v>
      </c>
      <c r="F5202" s="5"/>
      <c r="G5202" s="8" t="s">
        <v>12</v>
      </c>
      <c r="H5202" s="5"/>
      <c r="I5202" s="8" t="s">
        <v>13</v>
      </c>
      <c r="J5202" s="5"/>
      <c r="K5202" s="8" t="s">
        <v>13</v>
      </c>
      <c r="L5202" s="6"/>
      <c r="M5202" s="8" t="str">
        <f>$M$8</f>
        <v>BASE</v>
      </c>
      <c r="N5202" s="6"/>
      <c r="O5202" s="8" t="str">
        <f>$O$8</f>
        <v>SUPPLEMENTAL</v>
      </c>
      <c r="P5202" s="6"/>
      <c r="Q5202" s="8" t="str">
        <f>$Q$8</f>
        <v>BUDGET</v>
      </c>
    </row>
    <row r="5203" spans="1:22" ht="11.85" hidden="1" customHeight="1" x14ac:dyDescent="0.2">
      <c r="L5203" s="9"/>
      <c r="N5203" s="9"/>
      <c r="P5203" s="9"/>
    </row>
    <row r="5204" spans="1:22" ht="11.85" hidden="1" customHeight="1" x14ac:dyDescent="0.2">
      <c r="A5204" s="10" t="s">
        <v>244</v>
      </c>
      <c r="L5204" s="9"/>
      <c r="N5204" s="9"/>
      <c r="P5204" s="9"/>
    </row>
    <row r="5205" spans="1:22" ht="11.85" hidden="1" customHeight="1" x14ac:dyDescent="0.2">
      <c r="A5205" s="3" t="s">
        <v>2000</v>
      </c>
      <c r="C5205" s="2">
        <v>0</v>
      </c>
      <c r="E5205" s="2">
        <v>0</v>
      </c>
      <c r="G5205" s="2">
        <v>0</v>
      </c>
      <c r="I5205" s="2">
        <v>0</v>
      </c>
      <c r="K5205" s="2">
        <v>0</v>
      </c>
      <c r="L5205" s="9"/>
      <c r="M5205" s="2">
        <v>0</v>
      </c>
      <c r="N5205" s="9"/>
      <c r="O5205" s="2">
        <v>0</v>
      </c>
      <c r="P5205" s="9"/>
      <c r="Q5205" s="2">
        <f t="shared" ref="Q5205:Q5212" si="140">+M5205+O5205</f>
        <v>0</v>
      </c>
    </row>
    <row r="5206" spans="1:22" ht="11.85" hidden="1" customHeight="1" x14ac:dyDescent="0.2">
      <c r="A5206" s="3" t="s">
        <v>2001</v>
      </c>
      <c r="L5206" s="9"/>
      <c r="M5206" s="2">
        <v>0</v>
      </c>
      <c r="N5206" s="9"/>
      <c r="O5206" s="2">
        <v>0</v>
      </c>
      <c r="P5206" s="9"/>
      <c r="Q5206" s="2">
        <f t="shared" si="140"/>
        <v>0</v>
      </c>
    </row>
    <row r="5207" spans="1:22" ht="10.5" hidden="1" customHeight="1" x14ac:dyDescent="0.2">
      <c r="A5207" s="3" t="s">
        <v>2002</v>
      </c>
      <c r="L5207" s="9"/>
      <c r="M5207" s="2">
        <v>0</v>
      </c>
      <c r="N5207" s="9"/>
      <c r="O5207" s="2">
        <v>0</v>
      </c>
      <c r="P5207" s="9"/>
      <c r="Q5207" s="2">
        <f t="shared" si="140"/>
        <v>0</v>
      </c>
    </row>
    <row r="5208" spans="1:22" ht="10.5" hidden="1" customHeight="1" x14ac:dyDescent="0.2">
      <c r="A5208" s="3" t="s">
        <v>2003</v>
      </c>
      <c r="L5208" s="9"/>
      <c r="M5208" s="2">
        <v>0</v>
      </c>
      <c r="N5208" s="9"/>
      <c r="O5208" s="2">
        <v>0</v>
      </c>
      <c r="P5208" s="9"/>
      <c r="Q5208" s="2">
        <f t="shared" si="140"/>
        <v>0</v>
      </c>
    </row>
    <row r="5209" spans="1:22" ht="10.5" hidden="1" customHeight="1" x14ac:dyDescent="0.2">
      <c r="A5209" s="3" t="s">
        <v>2004</v>
      </c>
      <c r="L5209" s="9"/>
      <c r="M5209" s="2">
        <v>0</v>
      </c>
      <c r="N5209" s="9"/>
      <c r="O5209" s="2">
        <v>0</v>
      </c>
      <c r="P5209" s="9"/>
      <c r="Q5209" s="2">
        <f t="shared" si="140"/>
        <v>0</v>
      </c>
    </row>
    <row r="5210" spans="1:22" ht="10.5" hidden="1" customHeight="1" x14ac:dyDescent="0.2">
      <c r="A5210" s="3" t="s">
        <v>2005</v>
      </c>
      <c r="L5210" s="9"/>
      <c r="M5210" s="2">
        <v>0</v>
      </c>
      <c r="N5210" s="9"/>
      <c r="O5210" s="2">
        <v>0</v>
      </c>
      <c r="P5210" s="9"/>
      <c r="Q5210" s="2">
        <f t="shared" si="140"/>
        <v>0</v>
      </c>
    </row>
    <row r="5211" spans="1:22" ht="10.5" hidden="1" customHeight="1" x14ac:dyDescent="0.2">
      <c r="A5211" s="3" t="s">
        <v>2006</v>
      </c>
      <c r="L5211" s="9"/>
      <c r="M5211" s="2">
        <v>0</v>
      </c>
      <c r="N5211" s="9"/>
      <c r="O5211" s="2">
        <v>0</v>
      </c>
      <c r="P5211" s="9"/>
      <c r="Q5211" s="2">
        <f t="shared" si="140"/>
        <v>0</v>
      </c>
    </row>
    <row r="5212" spans="1:22" ht="10.5" hidden="1" customHeight="1" x14ac:dyDescent="0.2">
      <c r="A5212" s="3" t="s">
        <v>2007</v>
      </c>
      <c r="L5212" s="9"/>
      <c r="M5212" s="2">
        <v>0</v>
      </c>
      <c r="N5212" s="9"/>
      <c r="O5212" s="2">
        <v>0</v>
      </c>
      <c r="P5212" s="9"/>
      <c r="Q5212" s="2">
        <f t="shared" si="140"/>
        <v>0</v>
      </c>
    </row>
    <row r="5213" spans="1:22" ht="11.85" hidden="1" customHeight="1" x14ac:dyDescent="0.2">
      <c r="A5213" s="3" t="s">
        <v>2008</v>
      </c>
      <c r="C5213" s="12"/>
      <c r="E5213" s="12">
        <v>0</v>
      </c>
      <c r="G5213" s="12">
        <v>0</v>
      </c>
      <c r="I5213" s="12">
        <v>0</v>
      </c>
      <c r="K5213" s="12">
        <v>0</v>
      </c>
      <c r="L5213" s="9"/>
      <c r="M5213" s="12">
        <v>0</v>
      </c>
      <c r="N5213" s="9"/>
      <c r="O5213" s="12">
        <v>0</v>
      </c>
      <c r="P5213" s="9"/>
      <c r="Q5213" s="12">
        <f>M5213+O5213</f>
        <v>0</v>
      </c>
    </row>
    <row r="5214" spans="1:22" ht="11.85" hidden="1" customHeight="1" x14ac:dyDescent="0.2">
      <c r="A5214" s="3" t="s">
        <v>258</v>
      </c>
      <c r="C5214" s="2">
        <f>SUM(C5205:C5213)</f>
        <v>0</v>
      </c>
      <c r="E5214" s="2">
        <f>SUM(E5205:E5213)</f>
        <v>0</v>
      </c>
      <c r="G5214" s="2">
        <f>SUM(G5205:G5213)</f>
        <v>0</v>
      </c>
      <c r="I5214" s="2">
        <f>SUM(I5205:I5213)</f>
        <v>0</v>
      </c>
      <c r="K5214" s="2">
        <f>SUM(K5205:K5213)</f>
        <v>0</v>
      </c>
      <c r="L5214" s="9"/>
      <c r="M5214" s="2">
        <f>SUM(M5205:M5213)</f>
        <v>0</v>
      </c>
      <c r="N5214" s="9"/>
      <c r="O5214" s="2">
        <f>SUM(O5205:O5213)</f>
        <v>0</v>
      </c>
      <c r="P5214" s="9"/>
      <c r="Q5214" s="2">
        <f>SUM(Q5205:Q5213)</f>
        <v>0</v>
      </c>
    </row>
    <row r="5215" spans="1:22" ht="11.85" hidden="1" customHeight="1" x14ac:dyDescent="0.2">
      <c r="L5215" s="9"/>
      <c r="N5215" s="9"/>
      <c r="P5215" s="9"/>
      <c r="U5215" s="2"/>
    </row>
    <row r="5216" spans="1:22" ht="11.85" hidden="1" customHeight="1" thickBot="1" x14ac:dyDescent="0.25">
      <c r="A5216" s="3" t="s">
        <v>270</v>
      </c>
      <c r="C5216" s="25"/>
      <c r="E5216" s="25"/>
      <c r="G5216" s="25"/>
      <c r="I5216" s="25"/>
      <c r="K5216" s="25"/>
      <c r="L5216" s="9"/>
      <c r="M5216" s="25"/>
      <c r="N5216" s="9"/>
      <c r="O5216" s="25"/>
      <c r="P5216" s="9"/>
      <c r="Q5216" s="25"/>
      <c r="U5216" s="16"/>
      <c r="V5216" s="9"/>
    </row>
    <row r="5217" spans="1:21" ht="11.85" hidden="1" customHeight="1" thickTop="1" x14ac:dyDescent="0.2">
      <c r="L5217" s="9"/>
      <c r="N5217" s="9"/>
      <c r="P5217" s="9"/>
      <c r="U5217" s="2"/>
    </row>
    <row r="5218" spans="1:21" ht="11.85" hidden="1" customHeight="1" x14ac:dyDescent="0.2">
      <c r="L5218" s="9"/>
      <c r="N5218" s="9"/>
      <c r="P5218" s="9"/>
      <c r="U5218" s="2"/>
    </row>
    <row r="5219" spans="1:21" ht="11.85" hidden="1" customHeight="1" x14ac:dyDescent="0.2">
      <c r="A5219" s="3" t="s">
        <v>271</v>
      </c>
      <c r="L5219" s="9"/>
      <c r="N5219" s="9"/>
      <c r="P5219" s="9"/>
      <c r="U5219" s="2"/>
    </row>
    <row r="5220" spans="1:21" ht="11.85" hidden="1" customHeight="1" x14ac:dyDescent="0.2">
      <c r="L5220" s="9"/>
      <c r="N5220" s="9"/>
      <c r="P5220" s="9"/>
    </row>
    <row r="5221" spans="1:21" ht="11.85" hidden="1" customHeight="1" x14ac:dyDescent="0.2">
      <c r="L5221" s="9"/>
      <c r="N5221" s="9"/>
      <c r="P5221" s="9"/>
    </row>
    <row r="5222" spans="1:21" ht="11.85" hidden="1" customHeight="1" x14ac:dyDescent="0.2">
      <c r="L5222" s="9"/>
      <c r="N5222" s="9"/>
      <c r="P5222" s="9"/>
    </row>
    <row r="5223" spans="1:21" ht="11.85" hidden="1" customHeight="1" x14ac:dyDescent="0.2">
      <c r="L5223" s="9"/>
      <c r="N5223" s="9"/>
      <c r="P5223" s="9"/>
    </row>
    <row r="5224" spans="1:21" ht="11.85" hidden="1" customHeight="1" x14ac:dyDescent="0.2">
      <c r="L5224" s="9"/>
      <c r="N5224" s="9"/>
      <c r="P5224" s="9"/>
    </row>
    <row r="5225" spans="1:21" ht="11.85" hidden="1" customHeight="1" x14ac:dyDescent="0.2">
      <c r="L5225" s="9"/>
      <c r="N5225" s="9"/>
      <c r="P5225" s="9"/>
    </row>
    <row r="5226" spans="1:21" ht="11.85" hidden="1" customHeight="1" x14ac:dyDescent="0.2">
      <c r="L5226" s="9"/>
      <c r="N5226" s="9"/>
      <c r="P5226" s="9"/>
    </row>
    <row r="5227" spans="1:21" ht="11.85" hidden="1" customHeight="1" x14ac:dyDescent="0.2">
      <c r="L5227" s="9"/>
      <c r="N5227" s="9"/>
      <c r="P5227" s="9"/>
    </row>
    <row r="5228" spans="1:21" ht="11.85" hidden="1" customHeight="1" x14ac:dyDescent="0.2">
      <c r="L5228" s="9"/>
      <c r="N5228" s="9"/>
      <c r="P5228" s="9"/>
    </row>
    <row r="5229" spans="1:21" ht="11.85" hidden="1" customHeight="1" x14ac:dyDescent="0.2">
      <c r="L5229" s="9"/>
      <c r="N5229" s="9"/>
      <c r="P5229" s="9"/>
    </row>
    <row r="5230" spans="1:21" ht="11.25" hidden="1" customHeight="1" x14ac:dyDescent="0.2"/>
    <row r="5231" spans="1:21" ht="11.85" hidden="1" customHeight="1" x14ac:dyDescent="0.2"/>
    <row r="5232" spans="1:21" ht="11.85" hidden="1" customHeight="1" x14ac:dyDescent="0.2"/>
    <row r="5233" ht="11.85" hidden="1" customHeight="1" x14ac:dyDescent="0.2"/>
    <row r="5234" ht="11.85" hidden="1" customHeight="1" x14ac:dyDescent="0.2"/>
    <row r="5235" ht="11.85" hidden="1" customHeight="1" x14ac:dyDescent="0.2"/>
    <row r="5236" ht="11.85" hidden="1" customHeight="1" x14ac:dyDescent="0.2"/>
    <row r="5237" ht="11.85" hidden="1" customHeight="1" x14ac:dyDescent="0.2"/>
    <row r="5238" ht="11.85" hidden="1" customHeight="1" x14ac:dyDescent="0.2"/>
    <row r="5239" ht="11.85" hidden="1" customHeight="1" x14ac:dyDescent="0.2"/>
    <row r="5240" ht="11.85" hidden="1" customHeight="1" x14ac:dyDescent="0.2"/>
    <row r="5241" ht="11.85" hidden="1" customHeight="1" x14ac:dyDescent="0.2"/>
    <row r="5242" ht="11.85" hidden="1" customHeight="1" x14ac:dyDescent="0.2"/>
    <row r="5243" ht="11.85" hidden="1" customHeight="1" x14ac:dyDescent="0.2"/>
    <row r="5244" ht="11.85" hidden="1" customHeight="1" x14ac:dyDescent="0.2"/>
    <row r="5245" ht="11.85" hidden="1" customHeight="1" x14ac:dyDescent="0.2"/>
    <row r="5246" ht="11.85" hidden="1" customHeight="1" x14ac:dyDescent="0.2"/>
    <row r="5247" ht="11.85" hidden="1" customHeight="1" x14ac:dyDescent="0.2"/>
    <row r="5248" ht="11.85" hidden="1" customHeight="1" x14ac:dyDescent="0.2"/>
    <row r="5249" spans="1:5" ht="11.85" hidden="1" customHeight="1" x14ac:dyDescent="0.2"/>
    <row r="5250" spans="1:5" ht="11.85" hidden="1" customHeight="1" x14ac:dyDescent="0.2"/>
    <row r="5251" spans="1:5" ht="11.85" hidden="1" customHeight="1" x14ac:dyDescent="0.2"/>
    <row r="5252" spans="1:5" ht="11.85" hidden="1" customHeight="1" x14ac:dyDescent="0.2"/>
    <row r="5253" spans="1:5" ht="11.85" hidden="1" customHeight="1" x14ac:dyDescent="0.2"/>
    <row r="5254" spans="1:5" ht="11.85" hidden="1" customHeight="1" x14ac:dyDescent="0.2"/>
    <row r="5255" spans="1:5" ht="11.85" hidden="1" customHeight="1" x14ac:dyDescent="0.2"/>
    <row r="5256" spans="1:5" ht="11.85" hidden="1" customHeight="1" x14ac:dyDescent="0.2"/>
    <row r="5257" spans="1:5" ht="11.85" hidden="1" customHeight="1" x14ac:dyDescent="0.2"/>
    <row r="5258" spans="1:5" ht="11.85" hidden="1" customHeight="1" x14ac:dyDescent="0.2"/>
    <row r="5259" spans="1:5" ht="11.85" hidden="1" customHeight="1" x14ac:dyDescent="0.2"/>
    <row r="5260" spans="1:5" ht="11.85" customHeight="1" x14ac:dyDescent="0.2">
      <c r="A5260" s="1"/>
      <c r="B5260" s="1"/>
      <c r="E5260" s="2" t="str">
        <f>$E$1</f>
        <v>CITY OF BRADY</v>
      </c>
    </row>
    <row r="5261" spans="1:5" ht="11.85" customHeight="1" x14ac:dyDescent="0.2">
      <c r="E5261" s="2" t="str">
        <f>$E$2</f>
        <v>BUDGET REPORT</v>
      </c>
    </row>
    <row r="5262" spans="1:5" ht="11.85" customHeight="1" x14ac:dyDescent="0.2">
      <c r="E5262" s="2" t="str">
        <f>$E$3</f>
        <v>FISCAL YEAR 2024 - 2025</v>
      </c>
    </row>
    <row r="5263" spans="1:5" ht="11.85" customHeight="1" x14ac:dyDescent="0.2">
      <c r="A5263" s="3" t="s">
        <v>1953</v>
      </c>
    </row>
    <row r="5264" spans="1:5" ht="11.85" customHeight="1" x14ac:dyDescent="0.2">
      <c r="A5264" s="3" t="s">
        <v>2009</v>
      </c>
    </row>
    <row r="5265" spans="1:17" ht="11.85" customHeight="1" x14ac:dyDescent="0.2">
      <c r="I5265" s="53" t="str">
        <f>$I$6</f>
        <v>(----- 2023-2024------)</v>
      </c>
      <c r="J5265" s="53"/>
      <c r="K5265" s="53"/>
      <c r="L5265" s="6"/>
      <c r="M5265" s="54" t="str">
        <f>$M$6</f>
        <v>2024-2025</v>
      </c>
      <c r="N5265" s="54"/>
      <c r="O5265" s="54"/>
      <c r="P5265" s="54"/>
      <c r="Q5265" s="54"/>
    </row>
    <row r="5266" spans="1:17" ht="11.85" customHeight="1" x14ac:dyDescent="0.2">
      <c r="C5266" s="5" t="str">
        <f>$C$7</f>
        <v>2020-2021</v>
      </c>
      <c r="D5266" s="5"/>
      <c r="E5266" s="5" t="str">
        <f>$E$7</f>
        <v>2021-2022</v>
      </c>
      <c r="F5266" s="5"/>
      <c r="G5266" s="5" t="str">
        <f>$G$7</f>
        <v>2022-2023</v>
      </c>
      <c r="H5266" s="5"/>
      <c r="I5266" s="5" t="s">
        <v>9</v>
      </c>
      <c r="J5266" s="5"/>
      <c r="K5266" s="5" t="str">
        <f>+$K$7</f>
        <v>PROJECTED</v>
      </c>
      <c r="L5266" s="6"/>
      <c r="M5266" s="5">
        <f>$M$7</f>
        <v>0</v>
      </c>
      <c r="N5266" s="6"/>
      <c r="O5266" s="5" t="str">
        <f>$O$7</f>
        <v>2024-2025</v>
      </c>
      <c r="P5266" s="6"/>
      <c r="Q5266" s="5" t="str">
        <f>$Q$7</f>
        <v>APPROVED</v>
      </c>
    </row>
    <row r="5267" spans="1:17" ht="11.85" customHeight="1" x14ac:dyDescent="0.2">
      <c r="A5267" s="7" t="s">
        <v>273</v>
      </c>
      <c r="C5267" s="8" t="s">
        <v>12</v>
      </c>
      <c r="D5267" s="5"/>
      <c r="E5267" s="8" t="s">
        <v>12</v>
      </c>
      <c r="F5267" s="5"/>
      <c r="G5267" s="8" t="s">
        <v>12</v>
      </c>
      <c r="H5267" s="5"/>
      <c r="I5267" s="8" t="s">
        <v>13</v>
      </c>
      <c r="J5267" s="5"/>
      <c r="K5267" s="8" t="s">
        <v>13</v>
      </c>
      <c r="L5267" s="6"/>
      <c r="M5267" s="8" t="str">
        <f>$M$8</f>
        <v>BASE</v>
      </c>
      <c r="N5267" s="6"/>
      <c r="O5267" s="8" t="str">
        <f>$O$8</f>
        <v>SUPPLEMENTAL</v>
      </c>
      <c r="P5267" s="6"/>
      <c r="Q5267" s="8" t="str">
        <f>$Q$8</f>
        <v>BUDGET</v>
      </c>
    </row>
    <row r="5268" spans="1:17" ht="11.85" customHeight="1" x14ac:dyDescent="0.2"/>
    <row r="5269" spans="1:17" ht="11.85" customHeight="1" x14ac:dyDescent="0.2">
      <c r="A5269" s="10" t="s">
        <v>286</v>
      </c>
      <c r="L5269" s="9"/>
      <c r="N5269" s="9"/>
      <c r="P5269" s="9"/>
    </row>
    <row r="5270" spans="1:17" ht="11.85" hidden="1" customHeight="1" x14ac:dyDescent="0.2">
      <c r="A5270" s="3" t="s">
        <v>2010</v>
      </c>
      <c r="C5270" s="2">
        <v>0</v>
      </c>
      <c r="E5270" s="2">
        <v>0</v>
      </c>
      <c r="G5270" s="2">
        <v>0</v>
      </c>
      <c r="I5270" s="2">
        <v>0</v>
      </c>
      <c r="K5270" s="2">
        <v>0</v>
      </c>
      <c r="L5270" s="9"/>
      <c r="M5270" s="2">
        <v>0</v>
      </c>
      <c r="N5270" s="9"/>
      <c r="O5270" s="2">
        <v>0</v>
      </c>
      <c r="P5270" s="9"/>
      <c r="Q5270" s="2">
        <f t="shared" ref="Q5270:Q5277" si="141">M5270+O5270</f>
        <v>0</v>
      </c>
    </row>
    <row r="5271" spans="1:17" ht="11.85" hidden="1" customHeight="1" x14ac:dyDescent="0.2">
      <c r="A5271" s="3" t="s">
        <v>2011</v>
      </c>
      <c r="C5271" s="2">
        <v>0</v>
      </c>
      <c r="E5271" s="2">
        <v>0</v>
      </c>
      <c r="G5271" s="2">
        <v>0</v>
      </c>
      <c r="I5271" s="2">
        <v>0</v>
      </c>
      <c r="K5271" s="2">
        <v>0</v>
      </c>
      <c r="L5271" s="9"/>
      <c r="M5271" s="2">
        <v>0</v>
      </c>
      <c r="N5271" s="9"/>
      <c r="O5271" s="2">
        <v>0</v>
      </c>
      <c r="P5271" s="9"/>
      <c r="Q5271" s="2">
        <f t="shared" si="141"/>
        <v>0</v>
      </c>
    </row>
    <row r="5272" spans="1:17" ht="12" hidden="1" customHeight="1" x14ac:dyDescent="0.2">
      <c r="A5272" s="3" t="s">
        <v>2012</v>
      </c>
      <c r="C5272" s="2">
        <v>0</v>
      </c>
      <c r="E5272" s="2">
        <v>0</v>
      </c>
      <c r="G5272" s="2">
        <v>0</v>
      </c>
      <c r="I5272" s="2">
        <v>0</v>
      </c>
      <c r="K5272" s="2">
        <v>0</v>
      </c>
      <c r="L5272" s="9"/>
      <c r="M5272" s="2">
        <v>0</v>
      </c>
      <c r="N5272" s="9"/>
      <c r="O5272" s="2">
        <v>0</v>
      </c>
      <c r="P5272" s="9"/>
      <c r="Q5272" s="2">
        <f t="shared" si="141"/>
        <v>0</v>
      </c>
    </row>
    <row r="5273" spans="1:17" ht="12" hidden="1" customHeight="1" x14ac:dyDescent="0.2">
      <c r="A5273" s="3" t="s">
        <v>2013</v>
      </c>
      <c r="C5273" s="2">
        <v>0</v>
      </c>
      <c r="E5273" s="2">
        <v>0</v>
      </c>
      <c r="G5273" s="2">
        <v>0</v>
      </c>
      <c r="I5273" s="2">
        <v>0</v>
      </c>
      <c r="K5273" s="2">
        <v>0</v>
      </c>
      <c r="L5273" s="9"/>
      <c r="M5273" s="2">
        <v>0</v>
      </c>
      <c r="N5273" s="9"/>
      <c r="O5273" s="2">
        <v>0</v>
      </c>
      <c r="P5273" s="9"/>
      <c r="Q5273" s="2">
        <f t="shared" si="141"/>
        <v>0</v>
      </c>
    </row>
    <row r="5274" spans="1:17" ht="11.85" customHeight="1" x14ac:dyDescent="0.2">
      <c r="A5274" s="3" t="s">
        <v>2014</v>
      </c>
      <c r="C5274" s="2">
        <v>250390.88</v>
      </c>
      <c r="E5274" s="2">
        <v>258241.4</v>
      </c>
      <c r="G5274" s="2">
        <v>278171.07</v>
      </c>
      <c r="I5274" s="2">
        <v>250000</v>
      </c>
      <c r="K5274" s="2">
        <v>250000</v>
      </c>
      <c r="L5274" s="9"/>
      <c r="M5274" s="2">
        <v>265000</v>
      </c>
      <c r="N5274" s="9"/>
      <c r="O5274" s="2">
        <v>0</v>
      </c>
      <c r="P5274" s="9"/>
      <c r="Q5274" s="2">
        <f t="shared" si="141"/>
        <v>265000</v>
      </c>
    </row>
    <row r="5275" spans="1:17" ht="11.85" hidden="1" customHeight="1" x14ac:dyDescent="0.2">
      <c r="A5275" s="3" t="s">
        <v>2015</v>
      </c>
      <c r="C5275" s="2">
        <v>0</v>
      </c>
      <c r="E5275" s="2">
        <v>0</v>
      </c>
      <c r="G5275" s="2">
        <v>0</v>
      </c>
      <c r="I5275" s="2">
        <v>0</v>
      </c>
      <c r="K5275" s="2">
        <v>0</v>
      </c>
      <c r="L5275" s="9"/>
      <c r="M5275" s="2">
        <v>0</v>
      </c>
      <c r="N5275" s="9"/>
      <c r="O5275" s="2">
        <v>0</v>
      </c>
      <c r="P5275" s="9"/>
      <c r="Q5275" s="2">
        <f t="shared" si="141"/>
        <v>0</v>
      </c>
    </row>
    <row r="5276" spans="1:17" ht="11.85" hidden="1" customHeight="1" x14ac:dyDescent="0.2">
      <c r="A5276" s="3" t="s">
        <v>2016</v>
      </c>
      <c r="C5276" s="2">
        <v>0</v>
      </c>
      <c r="E5276" s="2">
        <v>0</v>
      </c>
      <c r="G5276" s="2">
        <v>0</v>
      </c>
      <c r="I5276" s="2">
        <v>0</v>
      </c>
      <c r="K5276" s="2">
        <v>0</v>
      </c>
      <c r="L5276" s="9"/>
      <c r="M5276" s="2">
        <v>0</v>
      </c>
      <c r="N5276" s="9"/>
      <c r="O5276" s="2">
        <v>0</v>
      </c>
      <c r="P5276" s="9"/>
      <c r="Q5276" s="2">
        <f t="shared" si="141"/>
        <v>0</v>
      </c>
    </row>
    <row r="5277" spans="1:17" ht="11.85" customHeight="1" x14ac:dyDescent="0.2">
      <c r="A5277" s="3" t="s">
        <v>2017</v>
      </c>
      <c r="C5277" s="12">
        <v>0</v>
      </c>
      <c r="E5277" s="12">
        <v>0</v>
      </c>
      <c r="G5277" s="12">
        <v>0</v>
      </c>
      <c r="I5277" s="12">
        <v>0</v>
      </c>
      <c r="K5277" s="12">
        <v>0</v>
      </c>
      <c r="L5277" s="9"/>
      <c r="M5277" s="12">
        <v>0</v>
      </c>
      <c r="N5277" s="9"/>
      <c r="O5277" s="12">
        <v>0</v>
      </c>
      <c r="P5277" s="9"/>
      <c r="Q5277" s="12">
        <f t="shared" si="141"/>
        <v>0</v>
      </c>
    </row>
    <row r="5278" spans="1:17" ht="11.85" customHeight="1" x14ac:dyDescent="0.2">
      <c r="A5278" s="3" t="s">
        <v>304</v>
      </c>
      <c r="C5278" s="2">
        <f>SUM(C5270:C5277)</f>
        <v>250390.88</v>
      </c>
      <c r="E5278" s="2">
        <f>SUM(E5270:E5277)</f>
        <v>258241.4</v>
      </c>
      <c r="G5278" s="2">
        <f>SUM(G5270:G5277)</f>
        <v>278171.07</v>
      </c>
      <c r="I5278" s="2">
        <f>SUM(I5270:I5277)</f>
        <v>250000</v>
      </c>
      <c r="K5278" s="2">
        <f>SUM(K5270:K5277)</f>
        <v>250000</v>
      </c>
      <c r="L5278" s="9"/>
      <c r="M5278" s="2">
        <f>SUM(M5270:M5277)</f>
        <v>265000</v>
      </c>
      <c r="N5278" s="9"/>
      <c r="O5278" s="2">
        <f>SUM(O5270:O5277)</f>
        <v>0</v>
      </c>
      <c r="P5278" s="9"/>
      <c r="Q5278" s="2">
        <f>SUM(Q5270:Q5277)</f>
        <v>265000</v>
      </c>
    </row>
    <row r="5279" spans="1:17" ht="11.85" customHeight="1" x14ac:dyDescent="0.2">
      <c r="L5279" s="9"/>
      <c r="N5279" s="9"/>
      <c r="P5279" s="9"/>
    </row>
    <row r="5280" spans="1:17" ht="11.85" customHeight="1" x14ac:dyDescent="0.2">
      <c r="A5280" s="10" t="s">
        <v>332</v>
      </c>
      <c r="L5280" s="9"/>
      <c r="N5280" s="9"/>
      <c r="P5280" s="9"/>
    </row>
    <row r="5281" spans="1:18" ht="11.85" customHeight="1" x14ac:dyDescent="0.2">
      <c r="A5281" s="3" t="s">
        <v>2018</v>
      </c>
      <c r="C5281" s="12">
        <v>0</v>
      </c>
      <c r="E5281" s="12">
        <v>0</v>
      </c>
      <c r="G5281" s="12">
        <v>0</v>
      </c>
      <c r="I5281" s="12">
        <v>0</v>
      </c>
      <c r="K5281" s="12">
        <v>0</v>
      </c>
      <c r="L5281" s="9"/>
      <c r="M5281" s="12">
        <v>0</v>
      </c>
      <c r="N5281" s="9"/>
      <c r="O5281" s="12">
        <v>0</v>
      </c>
      <c r="P5281" s="9"/>
      <c r="Q5281" s="12">
        <f>M5281+O5281</f>
        <v>0</v>
      </c>
      <c r="R5281" s="9"/>
    </row>
    <row r="5282" spans="1:18" ht="11.85" customHeight="1" x14ac:dyDescent="0.2">
      <c r="A5282" s="3" t="s">
        <v>336</v>
      </c>
      <c r="C5282" s="2">
        <f>SUM(C5281:C5281)</f>
        <v>0</v>
      </c>
      <c r="E5282" s="2">
        <f>SUM(E5281:E5281)</f>
        <v>0</v>
      </c>
      <c r="G5282" s="2">
        <f>SUM(G5281:G5281)</f>
        <v>0</v>
      </c>
      <c r="I5282" s="2">
        <f>SUM(I5281:I5281)</f>
        <v>0</v>
      </c>
      <c r="K5282" s="2">
        <f>SUM(K5281:K5281)</f>
        <v>0</v>
      </c>
      <c r="L5282" s="9"/>
      <c r="M5282" s="2">
        <f>SUM(M5281:M5281)</f>
        <v>0</v>
      </c>
      <c r="N5282" s="9"/>
      <c r="O5282" s="2">
        <f>SUM(O5281:O5281)</f>
        <v>0</v>
      </c>
      <c r="P5282" s="9"/>
      <c r="Q5282" s="2">
        <f>SUM(Q5281:Q5281)</f>
        <v>0</v>
      </c>
    </row>
    <row r="5283" spans="1:18" ht="11.85" customHeight="1" x14ac:dyDescent="0.2">
      <c r="L5283" s="9"/>
      <c r="N5283" s="9"/>
      <c r="P5283" s="9"/>
    </row>
    <row r="5284" spans="1:18" ht="11.85" customHeight="1" x14ac:dyDescent="0.2">
      <c r="A5284" s="3" t="s">
        <v>2019</v>
      </c>
      <c r="C5284" s="2">
        <f>+C5278+C5282</f>
        <v>250390.88</v>
      </c>
      <c r="E5284" s="2">
        <f>E5278+E5282</f>
        <v>258241.4</v>
      </c>
      <c r="G5284" s="2">
        <f>G5278+G5282</f>
        <v>278171.07</v>
      </c>
      <c r="I5284" s="2">
        <f>I5278+I5282</f>
        <v>250000</v>
      </c>
      <c r="K5284" s="2">
        <f>K5278+K5282</f>
        <v>250000</v>
      </c>
      <c r="L5284" s="9"/>
      <c r="M5284" s="2">
        <f>M5278+M5282</f>
        <v>265000</v>
      </c>
      <c r="N5284" s="9"/>
      <c r="O5284" s="2">
        <f>+O5278+O5282</f>
        <v>0</v>
      </c>
      <c r="P5284" s="9"/>
      <c r="Q5284" s="2">
        <f>+Q5278+Q5282</f>
        <v>265000</v>
      </c>
    </row>
    <row r="5285" spans="1:18" ht="11.85" customHeight="1" x14ac:dyDescent="0.2">
      <c r="L5285" s="9"/>
      <c r="N5285" s="9"/>
      <c r="P5285" s="9"/>
    </row>
    <row r="5286" spans="1:18" ht="11.85" customHeight="1" x14ac:dyDescent="0.2">
      <c r="L5286" s="9"/>
      <c r="N5286" s="9"/>
      <c r="P5286" s="9"/>
    </row>
    <row r="5287" spans="1:18" ht="11.85" customHeight="1" x14ac:dyDescent="0.2">
      <c r="L5287" s="9"/>
      <c r="N5287" s="9"/>
      <c r="P5287" s="9"/>
    </row>
    <row r="5288" spans="1:18" ht="11.85" customHeight="1" x14ac:dyDescent="0.2">
      <c r="L5288" s="9"/>
      <c r="N5288" s="9"/>
      <c r="P5288" s="9"/>
    </row>
    <row r="5289" spans="1:18" ht="11.85" customHeight="1" x14ac:dyDescent="0.2">
      <c r="L5289" s="9"/>
      <c r="N5289" s="9"/>
      <c r="P5289" s="9"/>
    </row>
    <row r="5290" spans="1:18" ht="11.85" customHeight="1" x14ac:dyDescent="0.2">
      <c r="L5290" s="9"/>
      <c r="N5290" s="9"/>
      <c r="P5290" s="9"/>
    </row>
    <row r="5291" spans="1:18" ht="11.85" customHeight="1" x14ac:dyDescent="0.2">
      <c r="L5291" s="9"/>
      <c r="N5291" s="9"/>
      <c r="P5291" s="9"/>
    </row>
    <row r="5292" spans="1:18" ht="11.85" customHeight="1" x14ac:dyDescent="0.2">
      <c r="L5292" s="9"/>
      <c r="N5292" s="9"/>
      <c r="P5292" s="9"/>
    </row>
    <row r="5293" spans="1:18" ht="11.85" customHeight="1" x14ac:dyDescent="0.2">
      <c r="L5293" s="9"/>
      <c r="N5293" s="9"/>
      <c r="P5293" s="9"/>
    </row>
    <row r="5294" spans="1:18" ht="11.85" customHeight="1" x14ac:dyDescent="0.2">
      <c r="L5294" s="9"/>
      <c r="N5294" s="9"/>
      <c r="P5294" s="9"/>
    </row>
    <row r="5295" spans="1:18" ht="11.85" customHeight="1" x14ac:dyDescent="0.2">
      <c r="L5295" s="9"/>
      <c r="N5295" s="9"/>
      <c r="P5295" s="9"/>
    </row>
    <row r="5296" spans="1:18" ht="11.85" customHeight="1" x14ac:dyDescent="0.2">
      <c r="L5296" s="9"/>
      <c r="N5296" s="9"/>
      <c r="P5296" s="9"/>
    </row>
    <row r="5297" spans="12:16" ht="11.85" customHeight="1" x14ac:dyDescent="0.2">
      <c r="L5297" s="9"/>
      <c r="N5297" s="9"/>
      <c r="P5297" s="9"/>
    </row>
    <row r="5298" spans="12:16" ht="11.85" customHeight="1" x14ac:dyDescent="0.2">
      <c r="L5298" s="9"/>
      <c r="N5298" s="9"/>
      <c r="P5298" s="9"/>
    </row>
    <row r="5299" spans="12:16" ht="11.85" customHeight="1" x14ac:dyDescent="0.2">
      <c r="L5299" s="9"/>
      <c r="N5299" s="9"/>
      <c r="P5299" s="9"/>
    </row>
    <row r="5300" spans="12:16" ht="11.85" customHeight="1" x14ac:dyDescent="0.2">
      <c r="L5300" s="9"/>
      <c r="N5300" s="9"/>
      <c r="P5300" s="9"/>
    </row>
    <row r="5301" spans="12:16" ht="11.85" customHeight="1" x14ac:dyDescent="0.2">
      <c r="L5301" s="9"/>
      <c r="N5301" s="9"/>
      <c r="P5301" s="9"/>
    </row>
    <row r="5302" spans="12:16" ht="11.85" customHeight="1" x14ac:dyDescent="0.2">
      <c r="L5302" s="9"/>
      <c r="N5302" s="9"/>
      <c r="P5302" s="9"/>
    </row>
    <row r="5303" spans="12:16" ht="11.85" customHeight="1" x14ac:dyDescent="0.2">
      <c r="L5303" s="9"/>
      <c r="N5303" s="9"/>
      <c r="P5303" s="9"/>
    </row>
    <row r="5304" spans="12:16" ht="11.85" customHeight="1" x14ac:dyDescent="0.2">
      <c r="L5304" s="9"/>
      <c r="N5304" s="9"/>
      <c r="P5304" s="9"/>
    </row>
    <row r="5305" spans="12:16" ht="11.85" customHeight="1" x14ac:dyDescent="0.2">
      <c r="L5305" s="9"/>
      <c r="N5305" s="9"/>
      <c r="P5305" s="9"/>
    </row>
    <row r="5306" spans="12:16" ht="11.85" customHeight="1" x14ac:dyDescent="0.2">
      <c r="L5306" s="9"/>
      <c r="N5306" s="9"/>
      <c r="P5306" s="9"/>
    </row>
    <row r="5307" spans="12:16" ht="11.85" customHeight="1" x14ac:dyDescent="0.2">
      <c r="L5307" s="9"/>
      <c r="N5307" s="9"/>
      <c r="P5307" s="9"/>
    </row>
    <row r="5308" spans="12:16" ht="11.85" customHeight="1" x14ac:dyDescent="0.2">
      <c r="L5308" s="9"/>
      <c r="N5308" s="9"/>
      <c r="P5308" s="9"/>
    </row>
    <row r="5309" spans="12:16" ht="11.85" customHeight="1" x14ac:dyDescent="0.2">
      <c r="L5309" s="9"/>
      <c r="N5309" s="9"/>
      <c r="P5309" s="9"/>
    </row>
    <row r="5310" spans="12:16" ht="11.85" customHeight="1" x14ac:dyDescent="0.2">
      <c r="L5310" s="9"/>
      <c r="N5310" s="9"/>
      <c r="P5310" s="9"/>
    </row>
    <row r="5311" spans="12:16" ht="11.85" customHeight="1" x14ac:dyDescent="0.2">
      <c r="L5311" s="9"/>
      <c r="N5311" s="9"/>
      <c r="P5311" s="9"/>
    </row>
    <row r="5312" spans="12:16" ht="11.85" customHeight="1" x14ac:dyDescent="0.2">
      <c r="L5312" s="9"/>
      <c r="N5312" s="9"/>
      <c r="P5312" s="9"/>
    </row>
    <row r="5313" spans="1:17" ht="11.85" customHeight="1" x14ac:dyDescent="0.2">
      <c r="L5313" s="9"/>
      <c r="N5313" s="9"/>
      <c r="P5313" s="9"/>
    </row>
    <row r="5314" spans="1:17" ht="11.85" customHeight="1" x14ac:dyDescent="0.2">
      <c r="L5314" s="9"/>
      <c r="N5314" s="9"/>
      <c r="P5314" s="9"/>
    </row>
    <row r="5315" spans="1:17" ht="11.85" customHeight="1" x14ac:dyDescent="0.2">
      <c r="L5315" s="9"/>
      <c r="N5315" s="9"/>
      <c r="P5315" s="9"/>
    </row>
    <row r="5316" spans="1:17" ht="11.85" customHeight="1" x14ac:dyDescent="0.2">
      <c r="L5316" s="9"/>
      <c r="N5316" s="9"/>
      <c r="P5316" s="9"/>
    </row>
    <row r="5317" spans="1:17" ht="11.85" customHeight="1" x14ac:dyDescent="0.2">
      <c r="L5317" s="9"/>
      <c r="N5317" s="9"/>
      <c r="P5317" s="9"/>
    </row>
    <row r="5318" spans="1:17" ht="11.85" customHeight="1" x14ac:dyDescent="0.2">
      <c r="L5318" s="9"/>
      <c r="N5318" s="9"/>
      <c r="P5318" s="9"/>
    </row>
    <row r="5319" spans="1:17" ht="11.85" customHeight="1" x14ac:dyDescent="0.2">
      <c r="A5319" s="1"/>
      <c r="B5319" s="1"/>
      <c r="E5319" s="2" t="str">
        <f>$E$1</f>
        <v>CITY OF BRADY</v>
      </c>
    </row>
    <row r="5320" spans="1:17" ht="11.85" customHeight="1" x14ac:dyDescent="0.2">
      <c r="E5320" s="2" t="str">
        <f>$E$2</f>
        <v>BUDGET REPORT</v>
      </c>
    </row>
    <row r="5321" spans="1:17" ht="11.85" customHeight="1" x14ac:dyDescent="0.2">
      <c r="E5321" s="2" t="str">
        <f>$E$3</f>
        <v>FISCAL YEAR 2024 - 2025</v>
      </c>
    </row>
    <row r="5322" spans="1:17" ht="11.85" customHeight="1" x14ac:dyDescent="0.2">
      <c r="A5322" s="3" t="s">
        <v>1953</v>
      </c>
    </row>
    <row r="5323" spans="1:17" ht="11.85" customHeight="1" x14ac:dyDescent="0.2">
      <c r="A5323" s="3" t="s">
        <v>2020</v>
      </c>
    </row>
    <row r="5324" spans="1:17" ht="11.85" customHeight="1" x14ac:dyDescent="0.2">
      <c r="I5324" s="53" t="str">
        <f>$I$6</f>
        <v>(----- 2023-2024------)</v>
      </c>
      <c r="J5324" s="53"/>
      <c r="K5324" s="53"/>
      <c r="L5324" s="6"/>
      <c r="M5324" s="54" t="str">
        <f>$M$6</f>
        <v>2024-2025</v>
      </c>
      <c r="N5324" s="54"/>
      <c r="O5324" s="54"/>
      <c r="P5324" s="54"/>
      <c r="Q5324" s="54"/>
    </row>
    <row r="5325" spans="1:17" ht="11.85" customHeight="1" x14ac:dyDescent="0.2">
      <c r="C5325" s="5" t="str">
        <f>$C$7</f>
        <v>2020-2021</v>
      </c>
      <c r="D5325" s="5"/>
      <c r="E5325" s="5" t="str">
        <f>$E$7</f>
        <v>2021-2022</v>
      </c>
      <c r="F5325" s="5"/>
      <c r="G5325" s="5" t="str">
        <f>$G$7</f>
        <v>2022-2023</v>
      </c>
      <c r="H5325" s="5"/>
      <c r="I5325" s="5" t="s">
        <v>9</v>
      </c>
      <c r="J5325" s="5"/>
      <c r="K5325" s="5" t="str">
        <f>+$K$7</f>
        <v>PROJECTED</v>
      </c>
      <c r="L5325" s="6"/>
      <c r="M5325" s="5">
        <f>$M$7</f>
        <v>0</v>
      </c>
      <c r="N5325" s="6"/>
      <c r="O5325" s="5" t="str">
        <f>$O$7</f>
        <v>2024-2025</v>
      </c>
      <c r="P5325" s="6"/>
      <c r="Q5325" s="5" t="str">
        <f>$Q$7</f>
        <v>APPROVED</v>
      </c>
    </row>
    <row r="5326" spans="1:17" ht="11.85" customHeight="1" x14ac:dyDescent="0.2">
      <c r="A5326" s="7" t="s">
        <v>273</v>
      </c>
      <c r="C5326" s="8" t="s">
        <v>12</v>
      </c>
      <c r="D5326" s="5"/>
      <c r="E5326" s="8" t="s">
        <v>12</v>
      </c>
      <c r="F5326" s="5"/>
      <c r="G5326" s="8" t="s">
        <v>12</v>
      </c>
      <c r="H5326" s="5"/>
      <c r="I5326" s="8" t="s">
        <v>13</v>
      </c>
      <c r="J5326" s="5"/>
      <c r="K5326" s="8" t="s">
        <v>13</v>
      </c>
      <c r="L5326" s="6"/>
      <c r="M5326" s="8" t="str">
        <f>$M$8</f>
        <v>BASE</v>
      </c>
      <c r="N5326" s="6"/>
      <c r="O5326" s="8" t="str">
        <f>$O$8</f>
        <v>SUPPLEMENTAL</v>
      </c>
      <c r="P5326" s="6"/>
      <c r="Q5326" s="8" t="str">
        <f>$Q$8</f>
        <v>BUDGET</v>
      </c>
    </row>
    <row r="5327" spans="1:17" ht="11.85" customHeight="1" x14ac:dyDescent="0.2"/>
    <row r="5328" spans="1:17" ht="11.85" customHeight="1" x14ac:dyDescent="0.2">
      <c r="A5328" s="10" t="s">
        <v>274</v>
      </c>
    </row>
    <row r="5329" spans="1:21" ht="11.85" customHeight="1" x14ac:dyDescent="0.2">
      <c r="A5329" s="3" t="s">
        <v>2021</v>
      </c>
      <c r="C5329" s="2">
        <v>91209.41</v>
      </c>
      <c r="E5329" s="2">
        <v>89032.4</v>
      </c>
      <c r="G5329" s="2">
        <v>93691.02</v>
      </c>
      <c r="I5329" s="2">
        <v>98450</v>
      </c>
      <c r="K5329" s="2">
        <f>98450-7300</f>
        <v>91150</v>
      </c>
      <c r="L5329" s="9"/>
      <c r="M5329" s="2">
        <v>90506</v>
      </c>
      <c r="N5329" s="9"/>
      <c r="O5329" s="2">
        <v>0</v>
      </c>
      <c r="P5329" s="9"/>
      <c r="Q5329" s="2">
        <f t="shared" ref="Q5329:Q5335" si="142">M5329+O5329</f>
        <v>90506</v>
      </c>
      <c r="T5329" s="11"/>
    </row>
    <row r="5330" spans="1:21" ht="11.85" customHeight="1" x14ac:dyDescent="0.2">
      <c r="A5330" s="3" t="s">
        <v>2022</v>
      </c>
      <c r="C5330" s="2">
        <v>0</v>
      </c>
      <c r="E5330" s="2">
        <v>0</v>
      </c>
      <c r="G5330" s="2">
        <v>0</v>
      </c>
      <c r="I5330" s="2">
        <v>200</v>
      </c>
      <c r="K5330" s="2">
        <v>200</v>
      </c>
      <c r="L5330" s="9"/>
      <c r="M5330" s="2">
        <v>200</v>
      </c>
      <c r="N5330" s="9"/>
      <c r="O5330" s="2">
        <v>0</v>
      </c>
      <c r="P5330" s="9"/>
      <c r="Q5330" s="2">
        <f t="shared" si="142"/>
        <v>200</v>
      </c>
      <c r="T5330" s="11"/>
    </row>
    <row r="5331" spans="1:21" ht="11.85" customHeight="1" x14ac:dyDescent="0.2">
      <c r="A5331" s="3" t="s">
        <v>2023</v>
      </c>
      <c r="C5331" s="2">
        <v>23190.240000000002</v>
      </c>
      <c r="E5331" s="2">
        <v>21588.959999999999</v>
      </c>
      <c r="G5331" s="2">
        <v>21876.98</v>
      </c>
      <c r="I5331" s="2">
        <v>22920</v>
      </c>
      <c r="K5331" s="2">
        <v>22920</v>
      </c>
      <c r="L5331" s="9"/>
      <c r="M5331" s="2">
        <v>20283</v>
      </c>
      <c r="N5331" s="9"/>
      <c r="O5331" s="2">
        <v>0</v>
      </c>
      <c r="P5331" s="9"/>
      <c r="Q5331" s="2">
        <f t="shared" si="142"/>
        <v>20283</v>
      </c>
      <c r="T5331" s="11"/>
    </row>
    <row r="5332" spans="1:21" ht="11.85" customHeight="1" x14ac:dyDescent="0.2">
      <c r="A5332" s="3" t="s">
        <v>2024</v>
      </c>
      <c r="C5332" s="2">
        <v>6353.63</v>
      </c>
      <c r="E5332" s="2">
        <v>6206.16</v>
      </c>
      <c r="G5332" s="2">
        <v>6455.88</v>
      </c>
      <c r="I5332" s="2">
        <v>6836</v>
      </c>
      <c r="K5332" s="2">
        <v>6836</v>
      </c>
      <c r="L5332" s="9"/>
      <c r="M5332" s="2">
        <v>6867</v>
      </c>
      <c r="N5332" s="9"/>
      <c r="O5332" s="2">
        <v>0</v>
      </c>
      <c r="P5332" s="9"/>
      <c r="Q5332" s="2">
        <f t="shared" si="142"/>
        <v>6867</v>
      </c>
      <c r="T5332" s="11"/>
    </row>
    <row r="5333" spans="1:21" ht="11.85" customHeight="1" x14ac:dyDescent="0.2">
      <c r="A5333" s="3" t="s">
        <v>2025</v>
      </c>
      <c r="C5333" s="2">
        <v>1189.76</v>
      </c>
      <c r="E5333" s="2">
        <v>1317.97</v>
      </c>
      <c r="G5333" s="2">
        <v>1386.02</v>
      </c>
      <c r="I5333" s="2">
        <v>1585</v>
      </c>
      <c r="K5333" s="2">
        <v>1585</v>
      </c>
      <c r="L5333" s="9"/>
      <c r="M5333" s="2">
        <v>1101</v>
      </c>
      <c r="N5333" s="9"/>
      <c r="O5333" s="2">
        <v>0</v>
      </c>
      <c r="P5333" s="9"/>
      <c r="Q5333" s="2">
        <f t="shared" si="142"/>
        <v>1101</v>
      </c>
      <c r="T5333" s="11"/>
    </row>
    <row r="5334" spans="1:21" ht="11.85" customHeight="1" x14ac:dyDescent="0.2">
      <c r="A5334" s="3" t="s">
        <v>2026</v>
      </c>
      <c r="C5334" s="2">
        <v>1178.6199999999999</v>
      </c>
      <c r="E5334" s="2">
        <v>233.4</v>
      </c>
      <c r="G5334" s="2">
        <v>39.56</v>
      </c>
      <c r="I5334" s="2">
        <v>419</v>
      </c>
      <c r="K5334" s="2">
        <v>419</v>
      </c>
      <c r="L5334" s="9"/>
      <c r="M5334" s="2">
        <v>360</v>
      </c>
      <c r="N5334" s="9"/>
      <c r="O5334" s="2">
        <v>0</v>
      </c>
      <c r="P5334" s="9"/>
      <c r="Q5334" s="2">
        <f t="shared" si="142"/>
        <v>360</v>
      </c>
      <c r="T5334" s="11"/>
    </row>
    <row r="5335" spans="1:21" ht="11.85" customHeight="1" x14ac:dyDescent="0.2">
      <c r="A5335" s="3" t="s">
        <v>2027</v>
      </c>
      <c r="C5335" s="12">
        <v>6707.41</v>
      </c>
      <c r="E5335" s="12">
        <v>7080.91</v>
      </c>
      <c r="G5335" s="12">
        <v>7167.56</v>
      </c>
      <c r="I5335" s="12">
        <v>7695</v>
      </c>
      <c r="K5335" s="12">
        <v>7695</v>
      </c>
      <c r="L5335" s="9"/>
      <c r="M5335" s="12">
        <v>7075</v>
      </c>
      <c r="N5335" s="9"/>
      <c r="O5335" s="12">
        <v>0</v>
      </c>
      <c r="P5335" s="9"/>
      <c r="Q5335" s="12">
        <f t="shared" si="142"/>
        <v>7075</v>
      </c>
      <c r="T5335" s="11"/>
    </row>
    <row r="5336" spans="1:21" ht="11.85" customHeight="1" x14ac:dyDescent="0.2">
      <c r="A5336" s="3" t="s">
        <v>285</v>
      </c>
      <c r="C5336" s="2">
        <f>SUM(C5329:C5335)</f>
        <v>129829.07</v>
      </c>
      <c r="E5336" s="2">
        <f>SUM(E5329:E5335)</f>
        <v>125459.79999999999</v>
      </c>
      <c r="G5336" s="2">
        <f>SUM(G5329:G5335)</f>
        <v>130617.02</v>
      </c>
      <c r="I5336" s="2">
        <f>SUM(I5329:I5335)</f>
        <v>138105</v>
      </c>
      <c r="K5336" s="2">
        <f>SUM(K5329:K5335)</f>
        <v>130805</v>
      </c>
      <c r="L5336" s="9"/>
      <c r="M5336" s="2">
        <f>SUM(M5329:M5335)</f>
        <v>126392</v>
      </c>
      <c r="N5336" s="9"/>
      <c r="O5336" s="2">
        <f>SUM(O5329:O5335)</f>
        <v>0</v>
      </c>
      <c r="P5336" s="9"/>
      <c r="Q5336" s="2">
        <f>SUM(Q5329:Q5335)</f>
        <v>126392</v>
      </c>
      <c r="R5336" s="9"/>
      <c r="T5336" s="14"/>
      <c r="U5336" s="9"/>
    </row>
    <row r="5337" spans="1:21" ht="11.85" customHeight="1" x14ac:dyDescent="0.2">
      <c r="L5337" s="9"/>
      <c r="N5337" s="9"/>
      <c r="P5337" s="9"/>
    </row>
    <row r="5338" spans="1:21" ht="11.85" customHeight="1" x14ac:dyDescent="0.2">
      <c r="A5338" s="10" t="s">
        <v>286</v>
      </c>
      <c r="L5338" s="9"/>
      <c r="N5338" s="9"/>
      <c r="P5338" s="9"/>
    </row>
    <row r="5339" spans="1:21" ht="11.85" customHeight="1" x14ac:dyDescent="0.2">
      <c r="A5339" s="3" t="s">
        <v>2028</v>
      </c>
      <c r="C5339" s="2">
        <v>0</v>
      </c>
      <c r="E5339" s="2">
        <v>0</v>
      </c>
      <c r="G5339" s="2">
        <v>0</v>
      </c>
      <c r="I5339" s="2">
        <v>250</v>
      </c>
      <c r="K5339" s="2">
        <v>250</v>
      </c>
      <c r="L5339" s="9"/>
      <c r="M5339" s="2">
        <v>250</v>
      </c>
      <c r="N5339" s="9"/>
      <c r="O5339" s="2">
        <v>0</v>
      </c>
      <c r="P5339" s="9"/>
      <c r="Q5339" s="2">
        <f t="shared" ref="Q5339:Q5348" si="143">M5339+O5339</f>
        <v>250</v>
      </c>
      <c r="T5339" s="11"/>
    </row>
    <row r="5340" spans="1:21" ht="11.85" customHeight="1" x14ac:dyDescent="0.2">
      <c r="A5340" s="3" t="s">
        <v>2029</v>
      </c>
      <c r="C5340" s="2">
        <v>12614.07</v>
      </c>
      <c r="E5340" s="2">
        <v>8477.89</v>
      </c>
      <c r="G5340" s="2">
        <v>15761.45</v>
      </c>
      <c r="I5340" s="2">
        <v>15000</v>
      </c>
      <c r="K5340" s="2">
        <v>15000</v>
      </c>
      <c r="L5340" s="9"/>
      <c r="M5340" s="2">
        <v>15000</v>
      </c>
      <c r="N5340" s="9"/>
      <c r="O5340" s="2">
        <v>0</v>
      </c>
      <c r="P5340" s="9"/>
      <c r="Q5340" s="2">
        <f t="shared" si="143"/>
        <v>15000</v>
      </c>
      <c r="T5340" s="11"/>
    </row>
    <row r="5341" spans="1:21" ht="11.85" customHeight="1" x14ac:dyDescent="0.2">
      <c r="A5341" s="3" t="s">
        <v>2030</v>
      </c>
      <c r="C5341" s="2">
        <v>145</v>
      </c>
      <c r="E5341" s="2">
        <v>0</v>
      </c>
      <c r="G5341" s="2">
        <v>0</v>
      </c>
      <c r="I5341" s="2">
        <v>250</v>
      </c>
      <c r="K5341" s="2">
        <v>250</v>
      </c>
      <c r="L5341" s="9"/>
      <c r="M5341" s="2">
        <v>250</v>
      </c>
      <c r="N5341" s="9"/>
      <c r="O5341" s="2">
        <v>0</v>
      </c>
      <c r="P5341" s="9"/>
      <c r="Q5341" s="2">
        <f t="shared" si="143"/>
        <v>250</v>
      </c>
      <c r="T5341" s="11"/>
    </row>
    <row r="5342" spans="1:21" ht="11.85" hidden="1" customHeight="1" x14ac:dyDescent="0.2">
      <c r="A5342" s="3" t="s">
        <v>2031</v>
      </c>
      <c r="C5342" s="2">
        <v>0</v>
      </c>
      <c r="E5342" s="2">
        <v>0</v>
      </c>
      <c r="G5342" s="2">
        <v>0</v>
      </c>
      <c r="I5342" s="2">
        <v>0</v>
      </c>
      <c r="K5342" s="2">
        <v>0</v>
      </c>
      <c r="L5342" s="9"/>
      <c r="M5342" s="2">
        <v>0</v>
      </c>
      <c r="N5342" s="9"/>
      <c r="O5342" s="2">
        <v>0</v>
      </c>
      <c r="P5342" s="9"/>
      <c r="Q5342" s="2">
        <f t="shared" si="143"/>
        <v>0</v>
      </c>
      <c r="T5342" s="11"/>
    </row>
    <row r="5343" spans="1:21" ht="11.85" hidden="1" customHeight="1" x14ac:dyDescent="0.2">
      <c r="A5343" s="3" t="s">
        <v>2032</v>
      </c>
      <c r="C5343" s="2">
        <v>0</v>
      </c>
      <c r="E5343" s="2">
        <v>0</v>
      </c>
      <c r="G5343" s="2">
        <v>0</v>
      </c>
      <c r="I5343" s="2">
        <v>0</v>
      </c>
      <c r="K5343" s="2">
        <v>0</v>
      </c>
      <c r="L5343" s="9"/>
      <c r="M5343" s="2">
        <v>0</v>
      </c>
      <c r="N5343" s="9"/>
      <c r="O5343" s="2">
        <v>0</v>
      </c>
      <c r="P5343" s="9"/>
      <c r="Q5343" s="2">
        <f t="shared" si="143"/>
        <v>0</v>
      </c>
      <c r="T5343" s="11"/>
    </row>
    <row r="5344" spans="1:21" ht="11.85" customHeight="1" x14ac:dyDescent="0.2">
      <c r="A5344" s="3" t="s">
        <v>2033</v>
      </c>
      <c r="C5344" s="2">
        <v>955.2</v>
      </c>
      <c r="E5344" s="2">
        <v>555</v>
      </c>
      <c r="G5344" s="2">
        <v>896.25</v>
      </c>
      <c r="I5344" s="2">
        <v>2300</v>
      </c>
      <c r="K5344" s="2">
        <v>2300</v>
      </c>
      <c r="L5344" s="9"/>
      <c r="M5344" s="2">
        <v>2300</v>
      </c>
      <c r="N5344" s="9"/>
      <c r="O5344" s="2">
        <v>0</v>
      </c>
      <c r="P5344" s="9"/>
      <c r="Q5344" s="2">
        <f t="shared" si="143"/>
        <v>2300</v>
      </c>
      <c r="T5344" s="11"/>
    </row>
    <row r="5345" spans="1:20" ht="11.85" customHeight="1" x14ac:dyDescent="0.2">
      <c r="A5345" s="3" t="s">
        <v>2034</v>
      </c>
      <c r="C5345" s="2">
        <v>2161.81</v>
      </c>
      <c r="E5345" s="2">
        <v>2027.5</v>
      </c>
      <c r="G5345" s="2">
        <v>1686.24</v>
      </c>
      <c r="I5345" s="2">
        <v>2200</v>
      </c>
      <c r="K5345" s="2">
        <v>2200</v>
      </c>
      <c r="L5345" s="9"/>
      <c r="M5345" s="2">
        <v>2200</v>
      </c>
      <c r="N5345" s="9"/>
      <c r="O5345" s="2">
        <v>0</v>
      </c>
      <c r="P5345" s="9"/>
      <c r="Q5345" s="2">
        <f t="shared" si="143"/>
        <v>2200</v>
      </c>
      <c r="T5345" s="11"/>
    </row>
    <row r="5346" spans="1:20" ht="11.85" customHeight="1" x14ac:dyDescent="0.2">
      <c r="A5346" s="3" t="s">
        <v>2035</v>
      </c>
      <c r="C5346" s="2">
        <v>234.6</v>
      </c>
      <c r="E5346" s="2">
        <v>234.6</v>
      </c>
      <c r="G5346" s="2">
        <v>291.5</v>
      </c>
      <c r="I5346" s="2">
        <v>150</v>
      </c>
      <c r="K5346" s="2">
        <v>150</v>
      </c>
      <c r="L5346" s="9"/>
      <c r="M5346" s="2">
        <v>150</v>
      </c>
      <c r="N5346" s="9"/>
      <c r="O5346" s="2">
        <v>0</v>
      </c>
      <c r="P5346" s="9"/>
      <c r="Q5346" s="2">
        <f t="shared" si="143"/>
        <v>150</v>
      </c>
      <c r="T5346" s="11"/>
    </row>
    <row r="5347" spans="1:20" ht="11.85" customHeight="1" x14ac:dyDescent="0.2">
      <c r="A5347" s="3" t="s">
        <v>2036</v>
      </c>
      <c r="C5347" s="12">
        <v>0</v>
      </c>
      <c r="E5347" s="12">
        <v>0</v>
      </c>
      <c r="G5347" s="12">
        <v>0</v>
      </c>
      <c r="I5347" s="12">
        <v>1600</v>
      </c>
      <c r="K5347" s="12">
        <v>1600</v>
      </c>
      <c r="L5347" s="9"/>
      <c r="M5347" s="12">
        <v>0</v>
      </c>
      <c r="N5347" s="9"/>
      <c r="O5347" s="12">
        <v>0</v>
      </c>
      <c r="P5347" s="9"/>
      <c r="Q5347" s="12">
        <f t="shared" si="143"/>
        <v>0</v>
      </c>
    </row>
    <row r="5348" spans="1:20" ht="11.85" hidden="1" customHeight="1" x14ac:dyDescent="0.2">
      <c r="A5348" s="3" t="s">
        <v>2037</v>
      </c>
      <c r="C5348" s="12">
        <v>0</v>
      </c>
      <c r="E5348" s="12">
        <v>0</v>
      </c>
      <c r="G5348" s="12">
        <v>0</v>
      </c>
      <c r="I5348" s="12">
        <v>0</v>
      </c>
      <c r="K5348" s="12">
        <v>0</v>
      </c>
      <c r="L5348" s="9"/>
      <c r="M5348" s="12">
        <v>0</v>
      </c>
      <c r="N5348" s="9"/>
      <c r="O5348" s="12">
        <v>0</v>
      </c>
      <c r="P5348" s="9"/>
      <c r="Q5348" s="12">
        <f t="shared" si="143"/>
        <v>0</v>
      </c>
    </row>
    <row r="5349" spans="1:20" ht="11.85" customHeight="1" x14ac:dyDescent="0.2">
      <c r="A5349" s="3" t="s">
        <v>304</v>
      </c>
      <c r="C5349" s="2">
        <f>SUM(C5339:C5348)</f>
        <v>16110.68</v>
      </c>
      <c r="E5349" s="2">
        <f>SUM(E5339:E5348)</f>
        <v>11294.99</v>
      </c>
      <c r="G5349" s="2">
        <f>SUM(G5339:G5348)</f>
        <v>18635.440000000002</v>
      </c>
      <c r="I5349" s="2">
        <f>SUM(I5339:I5348)</f>
        <v>21750</v>
      </c>
      <c r="K5349" s="2">
        <f>SUM(K5339:K5348)</f>
        <v>21750</v>
      </c>
      <c r="L5349" s="9"/>
      <c r="M5349" s="2">
        <f>SUM(M5339:M5348)</f>
        <v>20150</v>
      </c>
      <c r="N5349" s="9"/>
      <c r="O5349" s="2">
        <f>SUM(O5339:O5348)</f>
        <v>0</v>
      </c>
      <c r="P5349" s="9"/>
      <c r="Q5349" s="2">
        <f>SUM(Q5339:Q5348)</f>
        <v>20150</v>
      </c>
      <c r="R5349" s="9"/>
      <c r="T5349" s="14"/>
    </row>
    <row r="5350" spans="1:20" ht="11.85" customHeight="1" x14ac:dyDescent="0.2">
      <c r="L5350" s="9"/>
      <c r="N5350" s="9"/>
      <c r="P5350" s="9"/>
      <c r="T5350" s="11"/>
    </row>
    <row r="5351" spans="1:20" ht="11.85" customHeight="1" x14ac:dyDescent="0.2">
      <c r="A5351" s="10" t="s">
        <v>305</v>
      </c>
      <c r="L5351" s="9"/>
      <c r="N5351" s="9"/>
      <c r="P5351" s="9"/>
      <c r="T5351" s="11"/>
    </row>
    <row r="5352" spans="1:20" ht="11.85" customHeight="1" x14ac:dyDescent="0.2">
      <c r="A5352" s="3" t="s">
        <v>2038</v>
      </c>
      <c r="C5352" s="2">
        <v>0</v>
      </c>
      <c r="E5352" s="2">
        <v>52.47</v>
      </c>
      <c r="G5352" s="2">
        <v>116.32</v>
      </c>
      <c r="I5352" s="2">
        <v>200</v>
      </c>
      <c r="K5352" s="2">
        <v>200</v>
      </c>
      <c r="L5352" s="9"/>
      <c r="M5352" s="2">
        <v>200</v>
      </c>
      <c r="N5352" s="9"/>
      <c r="O5352" s="2">
        <v>0</v>
      </c>
      <c r="P5352" s="9"/>
      <c r="Q5352" s="2">
        <f t="shared" ref="Q5352:Q5366" si="144">M5352+O5352</f>
        <v>200</v>
      </c>
      <c r="T5352" s="11"/>
    </row>
    <row r="5353" spans="1:20" ht="11.85" customHeight="1" x14ac:dyDescent="0.2">
      <c r="A5353" s="3" t="s">
        <v>2039</v>
      </c>
      <c r="C5353" s="2">
        <v>0</v>
      </c>
      <c r="E5353" s="2">
        <v>0</v>
      </c>
      <c r="G5353" s="2">
        <v>0</v>
      </c>
      <c r="I5353" s="2">
        <v>0</v>
      </c>
      <c r="K5353" s="2">
        <v>0</v>
      </c>
      <c r="L5353" s="9"/>
      <c r="M5353" s="2">
        <v>0</v>
      </c>
      <c r="N5353" s="9"/>
      <c r="O5353" s="2">
        <v>0</v>
      </c>
      <c r="P5353" s="9"/>
      <c r="Q5353" s="2">
        <f t="shared" si="144"/>
        <v>0</v>
      </c>
      <c r="T5353" s="11"/>
    </row>
    <row r="5354" spans="1:20" ht="11.85" customHeight="1" x14ac:dyDescent="0.2">
      <c r="A5354" s="3" t="s">
        <v>2040</v>
      </c>
      <c r="C5354" s="2">
        <v>8811.14</v>
      </c>
      <c r="E5354" s="2">
        <v>9411.6299999999992</v>
      </c>
      <c r="G5354" s="2">
        <v>10556.44</v>
      </c>
      <c r="I5354" s="2">
        <v>10000</v>
      </c>
      <c r="K5354" s="2">
        <v>10000</v>
      </c>
      <c r="L5354" s="9"/>
      <c r="M5354" s="2">
        <v>10000</v>
      </c>
      <c r="N5354" s="9"/>
      <c r="O5354" s="2">
        <v>0</v>
      </c>
      <c r="P5354" s="9"/>
      <c r="Q5354" s="2">
        <f t="shared" si="144"/>
        <v>10000</v>
      </c>
      <c r="T5354" s="11"/>
    </row>
    <row r="5355" spans="1:20" ht="11.85" hidden="1" customHeight="1" x14ac:dyDescent="0.2">
      <c r="A5355" s="3" t="s">
        <v>2041</v>
      </c>
      <c r="C5355" s="2">
        <v>0</v>
      </c>
      <c r="E5355" s="2">
        <v>0</v>
      </c>
      <c r="G5355" s="2">
        <v>0</v>
      </c>
      <c r="I5355" s="2">
        <v>0</v>
      </c>
      <c r="K5355" s="2">
        <v>0</v>
      </c>
      <c r="L5355" s="9"/>
      <c r="M5355" s="2">
        <v>0</v>
      </c>
      <c r="N5355" s="9"/>
      <c r="O5355" s="2">
        <v>0</v>
      </c>
      <c r="P5355" s="9"/>
      <c r="Q5355" s="2">
        <f t="shared" si="144"/>
        <v>0</v>
      </c>
      <c r="T5355" s="11"/>
    </row>
    <row r="5356" spans="1:20" ht="11.85" customHeight="1" x14ac:dyDescent="0.2">
      <c r="A5356" s="3" t="s">
        <v>2042</v>
      </c>
      <c r="C5356" s="2">
        <v>47.83</v>
      </c>
      <c r="E5356" s="2">
        <v>161.94</v>
      </c>
      <c r="G5356" s="2">
        <v>62.19</v>
      </c>
      <c r="I5356" s="2">
        <v>400</v>
      </c>
      <c r="K5356" s="2">
        <v>400</v>
      </c>
      <c r="L5356" s="9"/>
      <c r="M5356" s="2">
        <v>200</v>
      </c>
      <c r="N5356" s="9"/>
      <c r="O5356" s="2">
        <v>0</v>
      </c>
      <c r="P5356" s="9"/>
      <c r="Q5356" s="2">
        <f t="shared" si="144"/>
        <v>200</v>
      </c>
      <c r="T5356" s="11"/>
    </row>
    <row r="5357" spans="1:20" ht="11.85" customHeight="1" x14ac:dyDescent="0.2">
      <c r="A5357" s="3" t="s">
        <v>2043</v>
      </c>
      <c r="C5357" s="2">
        <v>23.5</v>
      </c>
      <c r="E5357" s="2">
        <v>633.82000000000005</v>
      </c>
      <c r="G5357" s="2">
        <v>34.5</v>
      </c>
      <c r="I5357" s="2">
        <v>400</v>
      </c>
      <c r="K5357" s="2">
        <v>400</v>
      </c>
      <c r="L5357" s="9"/>
      <c r="M5357" s="2">
        <v>400</v>
      </c>
      <c r="N5357" s="9"/>
      <c r="O5357" s="2">
        <v>0</v>
      </c>
      <c r="P5357" s="9"/>
      <c r="Q5357" s="2">
        <f t="shared" si="144"/>
        <v>400</v>
      </c>
      <c r="T5357" s="11"/>
    </row>
    <row r="5358" spans="1:20" ht="11.85" customHeight="1" x14ac:dyDescent="0.2">
      <c r="A5358" s="3" t="s">
        <v>2044</v>
      </c>
      <c r="C5358" s="2">
        <v>0</v>
      </c>
      <c r="E5358" s="2">
        <v>8.31</v>
      </c>
      <c r="G5358" s="2">
        <v>0</v>
      </c>
      <c r="I5358" s="2">
        <v>0</v>
      </c>
      <c r="K5358" s="2">
        <v>0</v>
      </c>
      <c r="L5358" s="9"/>
      <c r="M5358" s="2">
        <v>0</v>
      </c>
      <c r="N5358" s="9"/>
      <c r="O5358" s="2">
        <v>0</v>
      </c>
      <c r="P5358" s="9"/>
      <c r="Q5358" s="2">
        <f t="shared" si="144"/>
        <v>0</v>
      </c>
      <c r="T5358" s="11"/>
    </row>
    <row r="5359" spans="1:20" ht="11.85" customHeight="1" x14ac:dyDescent="0.2">
      <c r="A5359" s="3" t="s">
        <v>2045</v>
      </c>
      <c r="C5359" s="2">
        <v>0</v>
      </c>
      <c r="E5359" s="2">
        <v>0</v>
      </c>
      <c r="G5359" s="2">
        <v>0</v>
      </c>
      <c r="I5359" s="2">
        <v>0</v>
      </c>
      <c r="K5359" s="2">
        <v>0</v>
      </c>
      <c r="L5359" s="9"/>
      <c r="M5359" s="2">
        <v>0</v>
      </c>
      <c r="N5359" s="9"/>
      <c r="O5359" s="2">
        <v>0</v>
      </c>
      <c r="P5359" s="9"/>
      <c r="Q5359" s="2">
        <f t="shared" si="144"/>
        <v>0</v>
      </c>
      <c r="T5359" s="11"/>
    </row>
    <row r="5360" spans="1:20" ht="11.85" customHeight="1" x14ac:dyDescent="0.2">
      <c r="A5360" s="3" t="s">
        <v>2046</v>
      </c>
      <c r="C5360" s="2">
        <v>0</v>
      </c>
      <c r="E5360" s="2">
        <v>0</v>
      </c>
      <c r="G5360" s="2">
        <v>0</v>
      </c>
      <c r="I5360" s="2">
        <v>0</v>
      </c>
      <c r="K5360" s="2">
        <v>0</v>
      </c>
      <c r="L5360" s="9"/>
      <c r="M5360" s="2">
        <v>0</v>
      </c>
      <c r="N5360" s="9"/>
      <c r="O5360" s="2">
        <v>0</v>
      </c>
      <c r="P5360" s="9"/>
      <c r="Q5360" s="2">
        <f t="shared" si="144"/>
        <v>0</v>
      </c>
      <c r="T5360" s="11"/>
    </row>
    <row r="5361" spans="1:21" ht="11.85" customHeight="1" x14ac:dyDescent="0.2">
      <c r="A5361" s="3" t="s">
        <v>2047</v>
      </c>
      <c r="C5361" s="2">
        <v>2127.2199999999998</v>
      </c>
      <c r="E5361" s="2">
        <v>2417.23</v>
      </c>
      <c r="G5361" s="2">
        <v>1887.41</v>
      </c>
      <c r="I5361" s="2">
        <v>2500</v>
      </c>
      <c r="K5361" s="2">
        <f>2500+2300</f>
        <v>4800</v>
      </c>
      <c r="L5361" s="9"/>
      <c r="M5361" s="2">
        <v>2500</v>
      </c>
      <c r="N5361" s="9"/>
      <c r="O5361" s="2">
        <v>0</v>
      </c>
      <c r="P5361" s="9"/>
      <c r="Q5361" s="2">
        <f t="shared" si="144"/>
        <v>2500</v>
      </c>
      <c r="T5361" s="11"/>
    </row>
    <row r="5362" spans="1:21" ht="11.85" customHeight="1" x14ac:dyDescent="0.2">
      <c r="A5362" s="3" t="s">
        <v>2048</v>
      </c>
      <c r="C5362" s="2">
        <v>1132.1199999999999</v>
      </c>
      <c r="E5362" s="2">
        <v>1341.35</v>
      </c>
      <c r="G5362" s="2">
        <v>1045.26</v>
      </c>
      <c r="I5362" s="2">
        <v>1200</v>
      </c>
      <c r="K5362" s="2">
        <v>1200</v>
      </c>
      <c r="L5362" s="9"/>
      <c r="M5362" s="2">
        <v>1000</v>
      </c>
      <c r="N5362" s="9"/>
      <c r="O5362" s="2">
        <v>0</v>
      </c>
      <c r="P5362" s="9"/>
      <c r="Q5362" s="2">
        <f t="shared" si="144"/>
        <v>1000</v>
      </c>
      <c r="T5362" s="11"/>
    </row>
    <row r="5363" spans="1:21" ht="11.85" customHeight="1" x14ac:dyDescent="0.2">
      <c r="A5363" s="3" t="s">
        <v>2049</v>
      </c>
      <c r="C5363" s="2">
        <v>0</v>
      </c>
      <c r="E5363" s="2">
        <v>0</v>
      </c>
      <c r="G5363" s="2">
        <v>0</v>
      </c>
      <c r="I5363" s="2">
        <v>600</v>
      </c>
      <c r="K5363" s="2">
        <v>600</v>
      </c>
      <c r="L5363" s="9"/>
      <c r="M5363" s="2">
        <v>200</v>
      </c>
      <c r="N5363" s="9"/>
      <c r="O5363" s="2">
        <v>0</v>
      </c>
      <c r="P5363" s="9"/>
      <c r="Q5363" s="2">
        <f t="shared" si="144"/>
        <v>200</v>
      </c>
      <c r="T5363" s="11"/>
    </row>
    <row r="5364" spans="1:21" ht="11.85" hidden="1" customHeight="1" x14ac:dyDescent="0.2">
      <c r="A5364" s="3" t="s">
        <v>2050</v>
      </c>
      <c r="C5364" s="2">
        <v>0</v>
      </c>
      <c r="E5364" s="2">
        <v>0</v>
      </c>
      <c r="G5364" s="2">
        <v>0</v>
      </c>
      <c r="I5364" s="2">
        <v>0</v>
      </c>
      <c r="K5364" s="2">
        <v>0</v>
      </c>
      <c r="L5364" s="9"/>
      <c r="M5364" s="2">
        <v>0</v>
      </c>
      <c r="N5364" s="9"/>
      <c r="O5364" s="2">
        <v>0</v>
      </c>
      <c r="P5364" s="9"/>
      <c r="Q5364" s="2">
        <f t="shared" si="144"/>
        <v>0</v>
      </c>
      <c r="T5364" s="11"/>
    </row>
    <row r="5365" spans="1:21" ht="11.85" customHeight="1" x14ac:dyDescent="0.2">
      <c r="A5365" s="3" t="s">
        <v>2051</v>
      </c>
      <c r="C5365" s="12">
        <v>61735.01</v>
      </c>
      <c r="E5365" s="12">
        <v>62340.74</v>
      </c>
      <c r="G5365" s="12">
        <v>70192.42</v>
      </c>
      <c r="I5365" s="12">
        <v>70000</v>
      </c>
      <c r="K5365" s="12">
        <f>70000+10000</f>
        <v>80000</v>
      </c>
      <c r="L5365" s="9"/>
      <c r="M5365" s="12">
        <v>75000</v>
      </c>
      <c r="N5365" s="9"/>
      <c r="O5365" s="12">
        <v>0</v>
      </c>
      <c r="P5365" s="9"/>
      <c r="Q5365" s="12">
        <f t="shared" si="144"/>
        <v>75000</v>
      </c>
      <c r="T5365" s="11"/>
    </row>
    <row r="5366" spans="1:21" ht="11.85" hidden="1" customHeight="1" x14ac:dyDescent="0.2">
      <c r="A5366" s="3" t="s">
        <v>2052</v>
      </c>
      <c r="C5366" s="12">
        <v>0</v>
      </c>
      <c r="E5366" s="12">
        <v>0</v>
      </c>
      <c r="G5366" s="12">
        <v>0</v>
      </c>
      <c r="I5366" s="12">
        <v>0</v>
      </c>
      <c r="K5366" s="12">
        <v>0</v>
      </c>
      <c r="L5366" s="9"/>
      <c r="M5366" s="12">
        <v>0</v>
      </c>
      <c r="N5366" s="9"/>
      <c r="O5366" s="12">
        <v>0</v>
      </c>
      <c r="P5366" s="9"/>
      <c r="Q5366" s="12">
        <f t="shared" si="144"/>
        <v>0</v>
      </c>
      <c r="T5366" s="11"/>
    </row>
    <row r="5367" spans="1:21" ht="11.85" customHeight="1" x14ac:dyDescent="0.2">
      <c r="A5367" s="3" t="s">
        <v>328</v>
      </c>
      <c r="C5367" s="2">
        <f>SUM(C5352:C5366)</f>
        <v>73876.820000000007</v>
      </c>
      <c r="E5367" s="2">
        <f>SUM(E5352:E5366)</f>
        <v>76367.489999999991</v>
      </c>
      <c r="G5367" s="2">
        <f>SUM(G5352:G5366)</f>
        <v>83894.54</v>
      </c>
      <c r="I5367" s="2">
        <f>SUM(I5352:I5366)</f>
        <v>85300</v>
      </c>
      <c r="K5367" s="2">
        <f>SUM(K5352:K5366)</f>
        <v>97600</v>
      </c>
      <c r="L5367" s="9"/>
      <c r="M5367" s="2">
        <f>SUM(M5352:M5366)</f>
        <v>89500</v>
      </c>
      <c r="N5367" s="9"/>
      <c r="O5367" s="2">
        <f>SUM(O5352:O5366)</f>
        <v>0</v>
      </c>
      <c r="P5367" s="9"/>
      <c r="Q5367" s="2">
        <f>SUM(Q5352:Q5366)</f>
        <v>89500</v>
      </c>
      <c r="T5367" s="11"/>
      <c r="U5367" s="9"/>
    </row>
    <row r="5368" spans="1:21" ht="11.85" customHeight="1" x14ac:dyDescent="0.2">
      <c r="L5368" s="9"/>
      <c r="N5368" s="9"/>
      <c r="P5368" s="9"/>
      <c r="T5368" s="11"/>
    </row>
    <row r="5369" spans="1:21" ht="11.85" customHeight="1" x14ac:dyDescent="0.2">
      <c r="A5369" s="3" t="s">
        <v>2053</v>
      </c>
      <c r="C5369" s="2">
        <v>0</v>
      </c>
      <c r="E5369" s="2">
        <v>0</v>
      </c>
      <c r="G5369" s="2">
        <v>0</v>
      </c>
      <c r="I5369" s="2">
        <v>0</v>
      </c>
      <c r="K5369" s="2">
        <v>0</v>
      </c>
      <c r="L5369" s="9"/>
      <c r="M5369" s="2">
        <v>0</v>
      </c>
      <c r="N5369" s="9"/>
      <c r="O5369" s="2">
        <v>30000</v>
      </c>
      <c r="P5369" s="9"/>
      <c r="Q5369" s="2">
        <f>M5369+O5369</f>
        <v>30000</v>
      </c>
      <c r="T5369" s="11"/>
    </row>
    <row r="5370" spans="1:21" ht="11.85" customHeight="1" x14ac:dyDescent="0.2">
      <c r="A5370" s="3" t="s">
        <v>2054</v>
      </c>
      <c r="C5370" s="12">
        <v>0</v>
      </c>
      <c r="E5370" s="12">
        <v>0</v>
      </c>
      <c r="G5370" s="12">
        <v>0</v>
      </c>
      <c r="I5370" s="12">
        <v>0</v>
      </c>
      <c r="K5370" s="12">
        <v>11900</v>
      </c>
      <c r="L5370" s="9"/>
      <c r="M5370" s="12">
        <v>0</v>
      </c>
      <c r="N5370" s="9"/>
      <c r="O5370" s="12">
        <v>0</v>
      </c>
      <c r="P5370" s="9"/>
      <c r="Q5370" s="12">
        <f>M5370+O5370</f>
        <v>0</v>
      </c>
      <c r="T5370" s="11"/>
    </row>
    <row r="5371" spans="1:21" ht="11.85" customHeight="1" x14ac:dyDescent="0.2">
      <c r="A5371" s="3" t="s">
        <v>331</v>
      </c>
      <c r="C5371" s="2">
        <f>SUM(C5369:C5370)</f>
        <v>0</v>
      </c>
      <c r="E5371" s="2">
        <f>SUM(E5369:E5370)</f>
        <v>0</v>
      </c>
      <c r="G5371" s="2">
        <f>SUM(G5369:G5370)</f>
        <v>0</v>
      </c>
      <c r="I5371" s="2">
        <f>SUM(I5369:I5370)</f>
        <v>0</v>
      </c>
      <c r="K5371" s="2">
        <f>SUM(K5369:K5370)</f>
        <v>11900</v>
      </c>
      <c r="L5371" s="9"/>
      <c r="M5371" s="2">
        <f>SUM(M5369:M5370)</f>
        <v>0</v>
      </c>
      <c r="N5371" s="9"/>
      <c r="O5371" s="2">
        <f>SUM(O5369:O5370)</f>
        <v>30000</v>
      </c>
      <c r="P5371" s="9"/>
      <c r="Q5371" s="2">
        <f>SUM(Q5369:Q5370)</f>
        <v>30000</v>
      </c>
      <c r="T5371" s="11"/>
    </row>
    <row r="5372" spans="1:21" ht="11.85" customHeight="1" x14ac:dyDescent="0.2">
      <c r="L5372" s="9"/>
      <c r="N5372" s="9"/>
      <c r="P5372" s="9"/>
    </row>
    <row r="5373" spans="1:21" ht="11.85" customHeight="1" x14ac:dyDescent="0.2">
      <c r="A5373" s="3" t="s">
        <v>2055</v>
      </c>
      <c r="C5373" s="2">
        <f>C5336+C5349+C5367+C5371</f>
        <v>219816.57</v>
      </c>
      <c r="E5373" s="2">
        <f>E5336+E5349+E5367+E5371</f>
        <v>213122.27999999997</v>
      </c>
      <c r="G5373" s="2">
        <f>G5336+G5349+G5367+G5371</f>
        <v>233147</v>
      </c>
      <c r="I5373" s="2">
        <f>I5336+I5349+I5367+I5371</f>
        <v>245155</v>
      </c>
      <c r="K5373" s="2">
        <f>K5336+K5349+K5367+K5371</f>
        <v>262055</v>
      </c>
      <c r="L5373" s="9"/>
      <c r="M5373" s="2">
        <f>M5336+M5349+M5367+M5371</f>
        <v>236042</v>
      </c>
      <c r="N5373" s="9"/>
      <c r="O5373" s="2">
        <f>O5336+O5349+O5367+O5371</f>
        <v>30000</v>
      </c>
      <c r="P5373" s="9"/>
      <c r="Q5373" s="2">
        <f>Q5336+Q5349+Q5367+Q5371</f>
        <v>266042</v>
      </c>
      <c r="T5373" s="11"/>
      <c r="U5373" s="9"/>
    </row>
    <row r="5374" spans="1:21" ht="11.85" customHeight="1" x14ac:dyDescent="0.2">
      <c r="L5374" s="9"/>
      <c r="N5374" s="9"/>
      <c r="P5374" s="9"/>
    </row>
    <row r="5375" spans="1:21" ht="11.85" customHeight="1" x14ac:dyDescent="0.2">
      <c r="L5375" s="9"/>
      <c r="N5375" s="9"/>
      <c r="P5375" s="9"/>
    </row>
    <row r="5376" spans="1:21" ht="11.85" customHeight="1" x14ac:dyDescent="0.2">
      <c r="L5376" s="9"/>
      <c r="N5376" s="9"/>
      <c r="P5376" s="9"/>
    </row>
    <row r="5377" spans="1:17" ht="11.85" customHeight="1" x14ac:dyDescent="0.2">
      <c r="L5377" s="9"/>
      <c r="N5377" s="9"/>
      <c r="P5377" s="9"/>
    </row>
    <row r="5378" spans="1:17" ht="11.85" customHeight="1" x14ac:dyDescent="0.2">
      <c r="L5378" s="9"/>
      <c r="N5378" s="9"/>
      <c r="P5378" s="9"/>
    </row>
    <row r="5379" spans="1:17" ht="11.85" customHeight="1" x14ac:dyDescent="0.2">
      <c r="L5379" s="9"/>
      <c r="N5379" s="9"/>
      <c r="P5379" s="9"/>
    </row>
    <row r="5380" spans="1:17" ht="11.85" customHeight="1" x14ac:dyDescent="0.2">
      <c r="L5380" s="9"/>
      <c r="N5380" s="9"/>
      <c r="P5380" s="9"/>
    </row>
    <row r="5381" spans="1:17" ht="11.85" customHeight="1" x14ac:dyDescent="0.2">
      <c r="L5381" s="9"/>
      <c r="N5381" s="9"/>
      <c r="P5381" s="9"/>
    </row>
    <row r="5382" spans="1:17" ht="11.85" customHeight="1" x14ac:dyDescent="0.2">
      <c r="L5382" s="9"/>
      <c r="N5382" s="9"/>
      <c r="P5382" s="9"/>
    </row>
    <row r="5383" spans="1:17" ht="11.85" customHeight="1" x14ac:dyDescent="0.2">
      <c r="L5383" s="9"/>
      <c r="N5383" s="9"/>
      <c r="P5383" s="9"/>
    </row>
    <row r="5384" spans="1:17" ht="11.85" customHeight="1" x14ac:dyDescent="0.2">
      <c r="A5384" s="1"/>
      <c r="B5384" s="1"/>
      <c r="E5384" s="2" t="str">
        <f>$E$1</f>
        <v>CITY OF BRADY</v>
      </c>
    </row>
    <row r="5385" spans="1:17" ht="11.85" customHeight="1" x14ac:dyDescent="0.2">
      <c r="E5385" s="2" t="str">
        <f>$E$2</f>
        <v>BUDGET REPORT</v>
      </c>
    </row>
    <row r="5386" spans="1:17" ht="11.85" customHeight="1" x14ac:dyDescent="0.2">
      <c r="E5386" s="2" t="str">
        <f>$E$3</f>
        <v>FISCAL YEAR 2024 - 2025</v>
      </c>
    </row>
    <row r="5387" spans="1:17" ht="11.85" customHeight="1" x14ac:dyDescent="0.2">
      <c r="A5387" s="3" t="s">
        <v>1953</v>
      </c>
    </row>
    <row r="5388" spans="1:17" ht="11.85" customHeight="1" x14ac:dyDescent="0.2">
      <c r="A5388" s="3" t="s">
        <v>2056</v>
      </c>
    </row>
    <row r="5389" spans="1:17" ht="11.85" customHeight="1" x14ac:dyDescent="0.2">
      <c r="I5389" s="53" t="str">
        <f>$I$6</f>
        <v>(----- 2023-2024------)</v>
      </c>
      <c r="J5389" s="53"/>
      <c r="K5389" s="53"/>
      <c r="L5389" s="6"/>
      <c r="M5389" s="54" t="str">
        <f>$M$6</f>
        <v>2024-2025</v>
      </c>
      <c r="N5389" s="54"/>
      <c r="O5389" s="54"/>
      <c r="P5389" s="54"/>
      <c r="Q5389" s="54"/>
    </row>
    <row r="5390" spans="1:17" ht="11.85" customHeight="1" x14ac:dyDescent="0.2">
      <c r="C5390" s="5" t="str">
        <f>$C$7</f>
        <v>2020-2021</v>
      </c>
      <c r="D5390" s="5"/>
      <c r="E5390" s="5" t="str">
        <f>$E$7</f>
        <v>2021-2022</v>
      </c>
      <c r="F5390" s="5"/>
      <c r="G5390" s="5" t="str">
        <f>$G$7</f>
        <v>2022-2023</v>
      </c>
      <c r="H5390" s="5"/>
      <c r="I5390" s="5" t="s">
        <v>9</v>
      </c>
      <c r="J5390" s="5"/>
      <c r="K5390" s="5" t="str">
        <f>+$K$7</f>
        <v>PROJECTED</v>
      </c>
      <c r="L5390" s="6"/>
      <c r="M5390" s="5">
        <f>$M$7</f>
        <v>0</v>
      </c>
      <c r="N5390" s="6"/>
      <c r="O5390" s="5" t="str">
        <f>$O$7</f>
        <v>2024-2025</v>
      </c>
      <c r="P5390" s="6"/>
      <c r="Q5390" s="5" t="str">
        <f>$Q$7</f>
        <v>APPROVED</v>
      </c>
    </row>
    <row r="5391" spans="1:17" ht="11.85" customHeight="1" x14ac:dyDescent="0.2">
      <c r="A5391" s="7" t="s">
        <v>273</v>
      </c>
      <c r="C5391" s="8" t="s">
        <v>12</v>
      </c>
      <c r="D5391" s="5"/>
      <c r="E5391" s="8" t="s">
        <v>12</v>
      </c>
      <c r="F5391" s="5"/>
      <c r="G5391" s="8" t="s">
        <v>12</v>
      </c>
      <c r="H5391" s="5"/>
      <c r="I5391" s="8" t="s">
        <v>13</v>
      </c>
      <c r="J5391" s="5"/>
      <c r="K5391" s="8" t="s">
        <v>13</v>
      </c>
      <c r="L5391" s="6"/>
      <c r="M5391" s="8" t="str">
        <f>$M$8</f>
        <v>BASE</v>
      </c>
      <c r="N5391" s="6"/>
      <c r="O5391" s="8" t="str">
        <f>$O$8</f>
        <v>SUPPLEMENTAL</v>
      </c>
      <c r="P5391" s="6"/>
      <c r="Q5391" s="8" t="str">
        <f>$Q$8</f>
        <v>BUDGET</v>
      </c>
    </row>
    <row r="5392" spans="1:17" ht="11.85" customHeight="1" x14ac:dyDescent="0.2"/>
    <row r="5393" spans="1:17" ht="11.85" customHeight="1" x14ac:dyDescent="0.2">
      <c r="A5393" s="10" t="s">
        <v>286</v>
      </c>
    </row>
    <row r="5394" spans="1:17" ht="11.85" customHeight="1" x14ac:dyDescent="0.2">
      <c r="A5394" s="3" t="s">
        <v>2057</v>
      </c>
      <c r="C5394" s="2">
        <v>0</v>
      </c>
      <c r="E5394" s="2">
        <v>0</v>
      </c>
      <c r="G5394" s="2">
        <v>0</v>
      </c>
      <c r="I5394" s="2">
        <v>0</v>
      </c>
      <c r="K5394" s="2">
        <v>8627</v>
      </c>
      <c r="L5394" s="9"/>
      <c r="M5394" s="2">
        <v>0</v>
      </c>
      <c r="N5394" s="9"/>
      <c r="O5394" s="2">
        <v>0</v>
      </c>
      <c r="P5394" s="9"/>
      <c r="Q5394" s="2">
        <f t="shared" ref="Q5394:Q5437" si="145">M5394+O5394</f>
        <v>0</v>
      </c>
    </row>
    <row r="5395" spans="1:17" ht="11.85" customHeight="1" x14ac:dyDescent="0.2">
      <c r="A5395" s="3" t="s">
        <v>2058</v>
      </c>
      <c r="C5395" s="2">
        <v>0</v>
      </c>
      <c r="E5395" s="2">
        <v>0</v>
      </c>
      <c r="G5395" s="2">
        <v>0</v>
      </c>
      <c r="I5395" s="2">
        <v>0</v>
      </c>
      <c r="K5395" s="2">
        <v>16000</v>
      </c>
      <c r="L5395" s="9"/>
      <c r="M5395" s="2">
        <v>0</v>
      </c>
      <c r="N5395" s="9"/>
      <c r="O5395" s="2">
        <v>0</v>
      </c>
      <c r="P5395" s="9"/>
      <c r="Q5395" s="2">
        <f t="shared" si="145"/>
        <v>0</v>
      </c>
    </row>
    <row r="5396" spans="1:17" ht="11.85" hidden="1" customHeight="1" x14ac:dyDescent="0.2">
      <c r="A5396" s="3" t="s">
        <v>2059</v>
      </c>
      <c r="C5396" s="2">
        <v>0</v>
      </c>
      <c r="E5396" s="2">
        <v>0</v>
      </c>
      <c r="G5396" s="2">
        <v>0</v>
      </c>
      <c r="I5396" s="2">
        <v>0</v>
      </c>
      <c r="K5396" s="2">
        <v>0</v>
      </c>
      <c r="L5396" s="9"/>
      <c r="M5396" s="2">
        <v>0</v>
      </c>
      <c r="N5396" s="9"/>
      <c r="O5396" s="2">
        <v>0</v>
      </c>
      <c r="P5396" s="9"/>
      <c r="Q5396" s="2">
        <f t="shared" si="145"/>
        <v>0</v>
      </c>
    </row>
    <row r="5397" spans="1:17" ht="11.85" hidden="1" customHeight="1" x14ac:dyDescent="0.2">
      <c r="A5397" s="3" t="s">
        <v>2060</v>
      </c>
      <c r="C5397" s="2">
        <v>0</v>
      </c>
      <c r="E5397" s="2">
        <v>0</v>
      </c>
      <c r="G5397" s="2">
        <v>0</v>
      </c>
      <c r="I5397" s="2">
        <v>0</v>
      </c>
      <c r="K5397" s="2">
        <v>0</v>
      </c>
      <c r="L5397" s="9"/>
      <c r="M5397" s="2">
        <v>0</v>
      </c>
      <c r="N5397" s="9"/>
      <c r="O5397" s="2">
        <v>0</v>
      </c>
      <c r="P5397" s="9"/>
      <c r="Q5397" s="2">
        <f t="shared" si="145"/>
        <v>0</v>
      </c>
    </row>
    <row r="5398" spans="1:17" ht="11.85" hidden="1" customHeight="1" x14ac:dyDescent="0.2">
      <c r="A5398" s="3" t="s">
        <v>2061</v>
      </c>
      <c r="C5398" s="2">
        <v>0</v>
      </c>
      <c r="E5398" s="2">
        <v>0</v>
      </c>
      <c r="G5398" s="2">
        <v>0</v>
      </c>
      <c r="I5398" s="2">
        <v>0</v>
      </c>
      <c r="K5398" s="2">
        <v>0</v>
      </c>
      <c r="L5398" s="9"/>
      <c r="M5398" s="2">
        <v>0</v>
      </c>
      <c r="N5398" s="9"/>
      <c r="O5398" s="2">
        <v>0</v>
      </c>
      <c r="P5398" s="9"/>
      <c r="Q5398" s="2">
        <f t="shared" si="145"/>
        <v>0</v>
      </c>
    </row>
    <row r="5399" spans="1:17" ht="11.85" hidden="1" customHeight="1" x14ac:dyDescent="0.2">
      <c r="A5399" s="3" t="s">
        <v>2062</v>
      </c>
      <c r="C5399" s="2">
        <v>0</v>
      </c>
      <c r="E5399" s="2">
        <v>0</v>
      </c>
      <c r="G5399" s="2">
        <v>0</v>
      </c>
      <c r="I5399" s="2">
        <v>0</v>
      </c>
      <c r="K5399" s="2">
        <v>0</v>
      </c>
      <c r="L5399" s="9"/>
      <c r="M5399" s="2">
        <v>0</v>
      </c>
      <c r="N5399" s="9"/>
      <c r="O5399" s="2">
        <v>0</v>
      </c>
      <c r="P5399" s="9"/>
      <c r="Q5399" s="2">
        <f t="shared" si="145"/>
        <v>0</v>
      </c>
    </row>
    <row r="5400" spans="1:17" ht="11.85" hidden="1" customHeight="1" x14ac:dyDescent="0.2">
      <c r="A5400" s="3" t="s">
        <v>2063</v>
      </c>
      <c r="C5400" s="2">
        <v>0</v>
      </c>
      <c r="E5400" s="2">
        <v>0</v>
      </c>
      <c r="G5400" s="2">
        <v>0</v>
      </c>
      <c r="I5400" s="2">
        <v>0</v>
      </c>
      <c r="K5400" s="2">
        <v>0</v>
      </c>
      <c r="L5400" s="9"/>
      <c r="M5400" s="2">
        <v>0</v>
      </c>
      <c r="N5400" s="9"/>
      <c r="O5400" s="2">
        <v>0</v>
      </c>
      <c r="P5400" s="9"/>
      <c r="Q5400" s="2">
        <f t="shared" si="145"/>
        <v>0</v>
      </c>
    </row>
    <row r="5401" spans="1:17" ht="11.85" hidden="1" customHeight="1" x14ac:dyDescent="0.2">
      <c r="A5401" s="3" t="s">
        <v>2064</v>
      </c>
      <c r="C5401" s="2">
        <v>0</v>
      </c>
      <c r="E5401" s="2">
        <v>0</v>
      </c>
      <c r="G5401" s="2">
        <v>0</v>
      </c>
      <c r="I5401" s="2">
        <v>0</v>
      </c>
      <c r="K5401" s="2">
        <v>0</v>
      </c>
      <c r="L5401" s="9"/>
      <c r="M5401" s="2">
        <v>0</v>
      </c>
      <c r="N5401" s="9"/>
      <c r="O5401" s="2">
        <v>0</v>
      </c>
      <c r="P5401" s="9"/>
      <c r="Q5401" s="2">
        <f t="shared" si="145"/>
        <v>0</v>
      </c>
    </row>
    <row r="5402" spans="1:17" ht="11.85" hidden="1" customHeight="1" x14ac:dyDescent="0.2">
      <c r="A5402" s="3" t="s">
        <v>2065</v>
      </c>
      <c r="C5402" s="2">
        <v>0</v>
      </c>
      <c r="E5402" s="2">
        <v>0</v>
      </c>
      <c r="G5402" s="2">
        <v>0</v>
      </c>
      <c r="I5402" s="2">
        <v>0</v>
      </c>
      <c r="K5402" s="2">
        <v>0</v>
      </c>
      <c r="L5402" s="9"/>
      <c r="M5402" s="2">
        <v>0</v>
      </c>
      <c r="N5402" s="9"/>
      <c r="O5402" s="2">
        <v>0</v>
      </c>
      <c r="P5402" s="9"/>
      <c r="Q5402" s="2">
        <f t="shared" si="145"/>
        <v>0</v>
      </c>
    </row>
    <row r="5403" spans="1:17" ht="11.85" hidden="1" customHeight="1" x14ac:dyDescent="0.2">
      <c r="A5403" s="3" t="s">
        <v>2066</v>
      </c>
      <c r="C5403" s="2">
        <v>0</v>
      </c>
      <c r="E5403" s="2">
        <v>0</v>
      </c>
      <c r="G5403" s="2">
        <v>0</v>
      </c>
      <c r="I5403" s="2">
        <v>0</v>
      </c>
      <c r="K5403" s="2">
        <v>0</v>
      </c>
      <c r="L5403" s="9"/>
      <c r="M5403" s="2">
        <v>0</v>
      </c>
      <c r="N5403" s="9"/>
      <c r="O5403" s="2">
        <v>0</v>
      </c>
      <c r="P5403" s="9"/>
      <c r="Q5403" s="2">
        <f t="shared" si="145"/>
        <v>0</v>
      </c>
    </row>
    <row r="5404" spans="1:17" ht="11.85" hidden="1" customHeight="1" x14ac:dyDescent="0.2">
      <c r="A5404" s="3" t="s">
        <v>2067</v>
      </c>
      <c r="C5404" s="2">
        <v>0</v>
      </c>
      <c r="E5404" s="2">
        <v>0</v>
      </c>
      <c r="G5404" s="2">
        <v>0</v>
      </c>
      <c r="I5404" s="2">
        <v>0</v>
      </c>
      <c r="K5404" s="2">
        <v>0</v>
      </c>
      <c r="L5404" s="9"/>
      <c r="M5404" s="2">
        <v>0</v>
      </c>
      <c r="N5404" s="9"/>
      <c r="O5404" s="2">
        <v>0</v>
      </c>
      <c r="P5404" s="9"/>
      <c r="Q5404" s="2">
        <f t="shared" si="145"/>
        <v>0</v>
      </c>
    </row>
    <row r="5405" spans="1:17" ht="11.85" hidden="1" customHeight="1" x14ac:dyDescent="0.2">
      <c r="A5405" s="3" t="s">
        <v>2068</v>
      </c>
      <c r="C5405" s="2">
        <v>0</v>
      </c>
      <c r="E5405" s="2">
        <v>0</v>
      </c>
      <c r="G5405" s="2">
        <v>0</v>
      </c>
      <c r="I5405" s="2">
        <v>0</v>
      </c>
      <c r="K5405" s="2">
        <v>0</v>
      </c>
      <c r="L5405" s="9"/>
      <c r="M5405" s="2">
        <v>0</v>
      </c>
      <c r="N5405" s="9"/>
      <c r="O5405" s="2">
        <v>0</v>
      </c>
      <c r="P5405" s="9"/>
      <c r="Q5405" s="2">
        <f t="shared" si="145"/>
        <v>0</v>
      </c>
    </row>
    <row r="5406" spans="1:17" ht="11.85" hidden="1" customHeight="1" x14ac:dyDescent="0.2">
      <c r="A5406" s="3" t="s">
        <v>2069</v>
      </c>
      <c r="C5406" s="2">
        <v>0</v>
      </c>
      <c r="E5406" s="2">
        <v>0</v>
      </c>
      <c r="G5406" s="2">
        <v>0</v>
      </c>
      <c r="I5406" s="2">
        <v>0</v>
      </c>
      <c r="K5406" s="2">
        <v>0</v>
      </c>
      <c r="L5406" s="9"/>
      <c r="M5406" s="2">
        <v>0</v>
      </c>
      <c r="N5406" s="9"/>
      <c r="O5406" s="2">
        <v>0</v>
      </c>
      <c r="P5406" s="9"/>
      <c r="Q5406" s="2">
        <f t="shared" si="145"/>
        <v>0</v>
      </c>
    </row>
    <row r="5407" spans="1:17" ht="11.85" hidden="1" customHeight="1" x14ac:dyDescent="0.2">
      <c r="A5407" s="3" t="s">
        <v>2070</v>
      </c>
      <c r="C5407" s="2">
        <v>0</v>
      </c>
      <c r="E5407" s="2">
        <v>0</v>
      </c>
      <c r="G5407" s="2">
        <v>0</v>
      </c>
      <c r="I5407" s="2">
        <v>0</v>
      </c>
      <c r="K5407" s="2">
        <v>0</v>
      </c>
      <c r="L5407" s="9"/>
      <c r="M5407" s="2">
        <v>0</v>
      </c>
      <c r="N5407" s="9"/>
      <c r="O5407" s="2">
        <v>0</v>
      </c>
      <c r="P5407" s="9"/>
      <c r="Q5407" s="2">
        <f t="shared" si="145"/>
        <v>0</v>
      </c>
    </row>
    <row r="5408" spans="1:17" ht="11.85" customHeight="1" x14ac:dyDescent="0.2">
      <c r="A5408" s="3" t="s">
        <v>2071</v>
      </c>
      <c r="C5408" s="2">
        <v>0</v>
      </c>
      <c r="E5408" s="2">
        <v>0</v>
      </c>
      <c r="G5408" s="2">
        <v>59690</v>
      </c>
      <c r="I5408" s="2">
        <v>720000</v>
      </c>
      <c r="K5408" s="2">
        <v>720000</v>
      </c>
      <c r="L5408" s="9"/>
      <c r="M5408" s="2">
        <v>0</v>
      </c>
      <c r="N5408" s="9"/>
      <c r="O5408" s="2">
        <v>0</v>
      </c>
      <c r="P5408" s="9"/>
      <c r="Q5408" s="2">
        <f t="shared" si="145"/>
        <v>0</v>
      </c>
    </row>
    <row r="5409" spans="1:21" ht="11.85" customHeight="1" x14ac:dyDescent="0.2">
      <c r="A5409" s="3" t="s">
        <v>2072</v>
      </c>
      <c r="C5409" s="2">
        <v>0</v>
      </c>
      <c r="E5409" s="2">
        <v>7990</v>
      </c>
      <c r="G5409" s="2">
        <v>0</v>
      </c>
      <c r="I5409" s="2">
        <v>0</v>
      </c>
      <c r="K5409" s="2">
        <f>87010-87010</f>
        <v>0</v>
      </c>
      <c r="L5409" s="9"/>
      <c r="M5409" s="2">
        <v>0</v>
      </c>
      <c r="N5409" s="9"/>
      <c r="O5409" s="2">
        <v>0</v>
      </c>
      <c r="P5409" s="9"/>
      <c r="Q5409" s="2">
        <f t="shared" si="145"/>
        <v>0</v>
      </c>
      <c r="R5409" s="9"/>
      <c r="U5409" s="2"/>
    </row>
    <row r="5410" spans="1:21" ht="11.85" customHeight="1" x14ac:dyDescent="0.2">
      <c r="A5410" s="3" t="s">
        <v>2073</v>
      </c>
      <c r="C5410" s="2">
        <v>0</v>
      </c>
      <c r="E5410" s="2">
        <v>0</v>
      </c>
      <c r="G5410" s="2">
        <v>0</v>
      </c>
      <c r="I5410" s="2">
        <v>0</v>
      </c>
      <c r="K5410" s="2">
        <v>0</v>
      </c>
      <c r="L5410" s="9"/>
      <c r="M5410" s="2">
        <v>0</v>
      </c>
      <c r="N5410" s="9"/>
      <c r="O5410" s="2">
        <v>1260000</v>
      </c>
      <c r="P5410" s="9"/>
      <c r="Q5410" s="2">
        <f t="shared" si="145"/>
        <v>1260000</v>
      </c>
    </row>
    <row r="5411" spans="1:21" ht="11.85" customHeight="1" x14ac:dyDescent="0.2">
      <c r="A5411" s="3" t="s">
        <v>2074</v>
      </c>
      <c r="C5411" s="2">
        <v>0</v>
      </c>
      <c r="E5411" s="2">
        <v>0</v>
      </c>
      <c r="G5411" s="2">
        <v>0</v>
      </c>
      <c r="I5411" s="2">
        <v>0</v>
      </c>
      <c r="K5411" s="2">
        <v>0</v>
      </c>
      <c r="L5411" s="9"/>
      <c r="M5411" s="2">
        <v>0</v>
      </c>
      <c r="N5411" s="9"/>
      <c r="O5411" s="2">
        <v>140000</v>
      </c>
      <c r="P5411" s="9"/>
      <c r="Q5411" s="2">
        <f t="shared" si="145"/>
        <v>140000</v>
      </c>
    </row>
    <row r="5412" spans="1:21" ht="11.85" customHeight="1" x14ac:dyDescent="0.2">
      <c r="A5412" s="3" t="s">
        <v>2075</v>
      </c>
      <c r="C5412" s="2">
        <v>-12089</v>
      </c>
      <c r="E5412" s="2">
        <v>0</v>
      </c>
      <c r="G5412" s="2">
        <v>0</v>
      </c>
      <c r="I5412" s="2">
        <v>0</v>
      </c>
      <c r="K5412" s="2">
        <v>0</v>
      </c>
      <c r="L5412" s="9"/>
      <c r="M5412" s="2">
        <v>0</v>
      </c>
      <c r="N5412" s="9"/>
      <c r="O5412" s="2">
        <v>0</v>
      </c>
      <c r="P5412" s="9"/>
      <c r="Q5412" s="2">
        <f t="shared" si="145"/>
        <v>0</v>
      </c>
    </row>
    <row r="5413" spans="1:21" ht="11.85" customHeight="1" x14ac:dyDescent="0.2">
      <c r="A5413" s="3" t="s">
        <v>2076</v>
      </c>
      <c r="C5413" s="2">
        <v>-34911</v>
      </c>
      <c r="E5413" s="2">
        <v>0</v>
      </c>
      <c r="G5413" s="2">
        <v>0</v>
      </c>
      <c r="I5413" s="2">
        <v>0</v>
      </c>
      <c r="K5413" s="2">
        <v>0</v>
      </c>
      <c r="L5413" s="9"/>
      <c r="M5413" s="2">
        <v>0</v>
      </c>
      <c r="N5413" s="9"/>
      <c r="O5413" s="2">
        <v>0</v>
      </c>
      <c r="P5413" s="9"/>
      <c r="Q5413" s="2">
        <f t="shared" si="145"/>
        <v>0</v>
      </c>
    </row>
    <row r="5414" spans="1:21" ht="11.85" customHeight="1" x14ac:dyDescent="0.2">
      <c r="A5414" s="3" t="s">
        <v>2077</v>
      </c>
      <c r="C5414" s="2">
        <v>4032.5</v>
      </c>
      <c r="E5414" s="2">
        <v>0</v>
      </c>
      <c r="G5414" s="2">
        <v>0</v>
      </c>
      <c r="I5414" s="2">
        <v>0</v>
      </c>
      <c r="K5414" s="2">
        <v>0</v>
      </c>
      <c r="L5414" s="9"/>
      <c r="M5414" s="2">
        <v>0</v>
      </c>
      <c r="N5414" s="9"/>
      <c r="O5414" s="2">
        <v>0</v>
      </c>
      <c r="P5414" s="9"/>
      <c r="Q5414" s="2">
        <f t="shared" si="145"/>
        <v>0</v>
      </c>
    </row>
    <row r="5415" spans="1:21" ht="11.85" customHeight="1" x14ac:dyDescent="0.2">
      <c r="A5415" s="3" t="s">
        <v>2078</v>
      </c>
      <c r="C5415" s="2">
        <v>0</v>
      </c>
      <c r="E5415" s="2">
        <v>0</v>
      </c>
      <c r="G5415" s="2">
        <v>0</v>
      </c>
      <c r="I5415" s="2">
        <v>0</v>
      </c>
      <c r="K5415" s="2">
        <v>0</v>
      </c>
      <c r="L5415" s="9"/>
      <c r="M5415" s="2">
        <v>0</v>
      </c>
      <c r="N5415" s="9"/>
      <c r="O5415" s="2">
        <v>0</v>
      </c>
      <c r="P5415" s="9"/>
      <c r="Q5415" s="2">
        <f t="shared" si="145"/>
        <v>0</v>
      </c>
    </row>
    <row r="5416" spans="1:21" ht="11.85" customHeight="1" x14ac:dyDescent="0.2">
      <c r="A5416" s="3" t="s">
        <v>2079</v>
      </c>
      <c r="C5416" s="2">
        <v>0</v>
      </c>
      <c r="E5416" s="2">
        <v>0</v>
      </c>
      <c r="G5416" s="2">
        <v>0</v>
      </c>
      <c r="I5416" s="2">
        <v>0</v>
      </c>
      <c r="K5416" s="2">
        <v>0</v>
      </c>
      <c r="L5416" s="9"/>
      <c r="M5416" s="2">
        <v>0</v>
      </c>
      <c r="N5416" s="9"/>
      <c r="O5416" s="2">
        <v>0</v>
      </c>
      <c r="P5416" s="9"/>
      <c r="Q5416" s="2">
        <f t="shared" si="145"/>
        <v>0</v>
      </c>
    </row>
    <row r="5417" spans="1:21" ht="11.85" customHeight="1" x14ac:dyDescent="0.2">
      <c r="A5417" s="3" t="s">
        <v>2080</v>
      </c>
      <c r="C5417" s="2">
        <v>0</v>
      </c>
      <c r="E5417" s="2">
        <v>0</v>
      </c>
      <c r="G5417" s="2">
        <v>0</v>
      </c>
      <c r="I5417" s="2">
        <v>0</v>
      </c>
      <c r="K5417" s="2">
        <v>0</v>
      </c>
      <c r="L5417" s="9"/>
      <c r="M5417" s="2">
        <v>0</v>
      </c>
      <c r="N5417" s="9"/>
      <c r="O5417" s="2">
        <v>0</v>
      </c>
      <c r="P5417" s="9"/>
      <c r="Q5417" s="2">
        <f t="shared" si="145"/>
        <v>0</v>
      </c>
    </row>
    <row r="5418" spans="1:21" ht="11.85" customHeight="1" x14ac:dyDescent="0.2">
      <c r="A5418" s="3" t="s">
        <v>2081</v>
      </c>
      <c r="C5418" s="2">
        <v>0</v>
      </c>
      <c r="E5418" s="2">
        <v>0</v>
      </c>
      <c r="G5418" s="2">
        <v>0</v>
      </c>
      <c r="I5418" s="2">
        <v>0</v>
      </c>
      <c r="K5418" s="2">
        <v>0</v>
      </c>
      <c r="L5418" s="9"/>
      <c r="M5418" s="2">
        <v>0</v>
      </c>
      <c r="N5418" s="9"/>
      <c r="O5418" s="2">
        <v>0</v>
      </c>
      <c r="P5418" s="9"/>
      <c r="Q5418" s="2">
        <f t="shared" si="145"/>
        <v>0</v>
      </c>
    </row>
    <row r="5419" spans="1:21" ht="11.85" customHeight="1" x14ac:dyDescent="0.2">
      <c r="A5419" s="3" t="s">
        <v>2082</v>
      </c>
      <c r="C5419" s="2">
        <v>0</v>
      </c>
      <c r="E5419" s="2">
        <v>0</v>
      </c>
      <c r="G5419" s="2">
        <v>0</v>
      </c>
      <c r="I5419" s="2">
        <v>0</v>
      </c>
      <c r="K5419" s="2">
        <v>0</v>
      </c>
      <c r="L5419" s="9"/>
      <c r="M5419" s="2">
        <v>0</v>
      </c>
      <c r="N5419" s="9"/>
      <c r="O5419" s="2">
        <v>0</v>
      </c>
      <c r="P5419" s="9"/>
      <c r="Q5419" s="2">
        <f t="shared" si="145"/>
        <v>0</v>
      </c>
    </row>
    <row r="5420" spans="1:21" ht="11.85" customHeight="1" x14ac:dyDescent="0.2">
      <c r="A5420" s="3" t="s">
        <v>2083</v>
      </c>
      <c r="C5420" s="2">
        <v>0</v>
      </c>
      <c r="E5420" s="2">
        <v>0</v>
      </c>
      <c r="G5420" s="2">
        <v>0</v>
      </c>
      <c r="I5420" s="2">
        <v>0</v>
      </c>
      <c r="K5420" s="2">
        <v>0</v>
      </c>
      <c r="L5420" s="9"/>
      <c r="M5420" s="2">
        <v>0</v>
      </c>
      <c r="N5420" s="9"/>
      <c r="O5420" s="2">
        <v>0</v>
      </c>
      <c r="P5420" s="9"/>
      <c r="Q5420" s="2">
        <f t="shared" si="145"/>
        <v>0</v>
      </c>
    </row>
    <row r="5421" spans="1:21" ht="11.85" customHeight="1" x14ac:dyDescent="0.2">
      <c r="A5421" s="3" t="s">
        <v>2084</v>
      </c>
      <c r="C5421" s="2">
        <v>0</v>
      </c>
      <c r="E5421" s="2">
        <v>0</v>
      </c>
      <c r="G5421" s="2">
        <v>0</v>
      </c>
      <c r="I5421" s="2">
        <v>0</v>
      </c>
      <c r="K5421" s="2">
        <v>0</v>
      </c>
      <c r="L5421" s="9"/>
      <c r="M5421" s="2">
        <v>0</v>
      </c>
      <c r="N5421" s="9"/>
      <c r="O5421" s="2">
        <v>0</v>
      </c>
      <c r="P5421" s="9"/>
      <c r="Q5421" s="2">
        <f t="shared" si="145"/>
        <v>0</v>
      </c>
    </row>
    <row r="5422" spans="1:21" ht="11.85" customHeight="1" x14ac:dyDescent="0.2">
      <c r="A5422" s="3" t="s">
        <v>2085</v>
      </c>
      <c r="C5422" s="2">
        <v>920</v>
      </c>
      <c r="E5422" s="2">
        <v>0</v>
      </c>
      <c r="G5422" s="2">
        <v>0</v>
      </c>
      <c r="I5422" s="2">
        <v>0</v>
      </c>
      <c r="K5422" s="2">
        <v>0</v>
      </c>
      <c r="L5422" s="9"/>
      <c r="M5422" s="2">
        <v>0</v>
      </c>
      <c r="N5422" s="9"/>
      <c r="O5422" s="2">
        <v>0</v>
      </c>
      <c r="P5422" s="9"/>
      <c r="Q5422" s="2">
        <f t="shared" si="145"/>
        <v>0</v>
      </c>
    </row>
    <row r="5423" spans="1:21" ht="11.85" customHeight="1" x14ac:dyDescent="0.2">
      <c r="A5423" s="3" t="s">
        <v>2086</v>
      </c>
      <c r="C5423" s="2">
        <v>0</v>
      </c>
      <c r="E5423" s="2">
        <v>0</v>
      </c>
      <c r="G5423" s="2">
        <v>0</v>
      </c>
      <c r="I5423" s="2">
        <v>0</v>
      </c>
      <c r="K5423" s="2">
        <v>0</v>
      </c>
      <c r="L5423" s="9"/>
      <c r="M5423" s="2">
        <v>0</v>
      </c>
      <c r="N5423" s="9"/>
      <c r="O5423" s="2">
        <v>0</v>
      </c>
      <c r="P5423" s="9"/>
      <c r="Q5423" s="2">
        <f t="shared" si="145"/>
        <v>0</v>
      </c>
    </row>
    <row r="5424" spans="1:21" ht="11.85" customHeight="1" x14ac:dyDescent="0.2">
      <c r="A5424" s="3" t="s">
        <v>2087</v>
      </c>
      <c r="C5424" s="2">
        <v>0</v>
      </c>
      <c r="E5424" s="2">
        <v>0</v>
      </c>
      <c r="G5424" s="2">
        <v>0</v>
      </c>
      <c r="I5424" s="2">
        <v>0</v>
      </c>
      <c r="K5424" s="2">
        <v>0</v>
      </c>
      <c r="L5424" s="9"/>
      <c r="M5424" s="2">
        <v>0</v>
      </c>
      <c r="N5424" s="9"/>
      <c r="O5424" s="2">
        <v>0</v>
      </c>
      <c r="P5424" s="9"/>
      <c r="Q5424" s="2">
        <f t="shared" si="145"/>
        <v>0</v>
      </c>
    </row>
    <row r="5425" spans="1:21" ht="11.85" customHeight="1" x14ac:dyDescent="0.2">
      <c r="A5425" s="3" t="s">
        <v>2088</v>
      </c>
      <c r="C5425" s="2">
        <v>0</v>
      </c>
      <c r="E5425" s="2">
        <v>0</v>
      </c>
      <c r="G5425" s="2">
        <v>0</v>
      </c>
      <c r="I5425" s="2">
        <v>0</v>
      </c>
      <c r="K5425" s="2">
        <v>0</v>
      </c>
      <c r="L5425" s="9"/>
      <c r="M5425" s="2">
        <v>0</v>
      </c>
      <c r="N5425" s="9"/>
      <c r="O5425" s="2">
        <v>0</v>
      </c>
      <c r="P5425" s="9"/>
      <c r="Q5425" s="2">
        <f t="shared" si="145"/>
        <v>0</v>
      </c>
    </row>
    <row r="5426" spans="1:21" ht="11.85" customHeight="1" x14ac:dyDescent="0.2">
      <c r="A5426" s="3" t="s">
        <v>2089</v>
      </c>
      <c r="C5426" s="2">
        <v>0</v>
      </c>
      <c r="E5426" s="2">
        <v>0</v>
      </c>
      <c r="G5426" s="2">
        <v>0</v>
      </c>
      <c r="I5426" s="2">
        <v>0</v>
      </c>
      <c r="K5426" s="2">
        <v>0</v>
      </c>
      <c r="L5426" s="9"/>
      <c r="M5426" s="2">
        <v>0</v>
      </c>
      <c r="N5426" s="9"/>
      <c r="O5426" s="2">
        <v>0</v>
      </c>
      <c r="P5426" s="9"/>
      <c r="Q5426" s="2">
        <f t="shared" si="145"/>
        <v>0</v>
      </c>
    </row>
    <row r="5427" spans="1:21" ht="11.85" customHeight="1" x14ac:dyDescent="0.2">
      <c r="A5427" s="3" t="s">
        <v>2090</v>
      </c>
      <c r="C5427" s="2">
        <v>594.98</v>
      </c>
      <c r="E5427" s="2">
        <v>0</v>
      </c>
      <c r="G5427" s="2">
        <v>0</v>
      </c>
      <c r="I5427" s="2">
        <v>0</v>
      </c>
      <c r="K5427" s="2">
        <v>0</v>
      </c>
      <c r="L5427" s="9"/>
      <c r="M5427" s="2">
        <v>0</v>
      </c>
      <c r="N5427" s="9"/>
      <c r="O5427" s="2">
        <v>0</v>
      </c>
      <c r="P5427" s="9"/>
      <c r="Q5427" s="2">
        <f t="shared" si="145"/>
        <v>0</v>
      </c>
    </row>
    <row r="5428" spans="1:21" ht="11.85" customHeight="1" x14ac:dyDescent="0.2">
      <c r="A5428" s="3" t="s">
        <v>2091</v>
      </c>
      <c r="C5428" s="12">
        <v>656880.55000000005</v>
      </c>
      <c r="E5428" s="12">
        <v>0</v>
      </c>
      <c r="G5428" s="12">
        <v>658178.75</v>
      </c>
      <c r="I5428" s="12">
        <v>0</v>
      </c>
      <c r="K5428" s="12">
        <v>0</v>
      </c>
      <c r="L5428" s="9"/>
      <c r="M5428" s="12">
        <v>0</v>
      </c>
      <c r="N5428" s="9"/>
      <c r="O5428" s="12">
        <v>0</v>
      </c>
      <c r="P5428" s="9"/>
      <c r="Q5428" s="12">
        <f t="shared" si="145"/>
        <v>0</v>
      </c>
    </row>
    <row r="5429" spans="1:21" ht="11.85" hidden="1" customHeight="1" x14ac:dyDescent="0.2">
      <c r="A5429" s="3" t="s">
        <v>2092</v>
      </c>
      <c r="C5429" s="2">
        <v>0</v>
      </c>
      <c r="E5429" s="2">
        <v>0</v>
      </c>
      <c r="G5429" s="2">
        <v>0</v>
      </c>
      <c r="I5429" s="2">
        <v>0</v>
      </c>
      <c r="K5429" s="2">
        <v>0</v>
      </c>
      <c r="L5429" s="9"/>
      <c r="M5429" s="2">
        <v>0</v>
      </c>
      <c r="N5429" s="9"/>
      <c r="O5429" s="2">
        <v>0</v>
      </c>
      <c r="P5429" s="9"/>
      <c r="Q5429" s="2">
        <f t="shared" si="145"/>
        <v>0</v>
      </c>
    </row>
    <row r="5430" spans="1:21" ht="11.85" hidden="1" customHeight="1" x14ac:dyDescent="0.2">
      <c r="A5430" s="3" t="s">
        <v>2093</v>
      </c>
      <c r="C5430" s="2">
        <v>0</v>
      </c>
      <c r="E5430" s="2">
        <v>0</v>
      </c>
      <c r="G5430" s="2">
        <v>0</v>
      </c>
      <c r="I5430" s="2">
        <v>0</v>
      </c>
      <c r="K5430" s="2">
        <v>0</v>
      </c>
      <c r="L5430" s="9"/>
      <c r="M5430" s="2">
        <v>0</v>
      </c>
      <c r="N5430" s="9"/>
      <c r="O5430" s="2">
        <v>0</v>
      </c>
      <c r="P5430" s="9"/>
      <c r="Q5430" s="2">
        <v>0</v>
      </c>
    </row>
    <row r="5431" spans="1:21" ht="11.85" hidden="1" customHeight="1" x14ac:dyDescent="0.2">
      <c r="A5431" s="3" t="s">
        <v>2094</v>
      </c>
      <c r="C5431" s="2">
        <v>0</v>
      </c>
      <c r="E5431" s="2">
        <v>0</v>
      </c>
      <c r="G5431" s="2">
        <v>0</v>
      </c>
      <c r="I5431" s="2">
        <v>0</v>
      </c>
      <c r="K5431" s="2">
        <v>0</v>
      </c>
      <c r="L5431" s="9"/>
      <c r="M5431" s="2">
        <v>0</v>
      </c>
      <c r="N5431" s="9"/>
      <c r="O5431" s="2">
        <v>0</v>
      </c>
      <c r="P5431" s="9"/>
      <c r="Q5431" s="2">
        <f t="shared" si="145"/>
        <v>0</v>
      </c>
    </row>
    <row r="5432" spans="1:21" ht="11.85" hidden="1" customHeight="1" x14ac:dyDescent="0.2">
      <c r="A5432" s="3" t="s">
        <v>2095</v>
      </c>
      <c r="C5432" s="2">
        <v>0</v>
      </c>
      <c r="E5432" s="2">
        <v>0</v>
      </c>
      <c r="G5432" s="2">
        <v>0</v>
      </c>
      <c r="I5432" s="2">
        <v>0</v>
      </c>
      <c r="K5432" s="2">
        <v>0</v>
      </c>
      <c r="L5432" s="9"/>
      <c r="M5432" s="2">
        <v>0</v>
      </c>
      <c r="N5432" s="9"/>
      <c r="O5432" s="2">
        <v>0</v>
      </c>
      <c r="P5432" s="9"/>
      <c r="Q5432" s="2">
        <f t="shared" si="145"/>
        <v>0</v>
      </c>
    </row>
    <row r="5433" spans="1:21" ht="11.85" hidden="1" customHeight="1" x14ac:dyDescent="0.2">
      <c r="A5433" s="3" t="s">
        <v>2096</v>
      </c>
      <c r="C5433" s="2">
        <v>0</v>
      </c>
      <c r="E5433" s="2">
        <v>0</v>
      </c>
      <c r="G5433" s="2">
        <v>0</v>
      </c>
      <c r="I5433" s="2">
        <v>0</v>
      </c>
      <c r="K5433" s="2">
        <v>0</v>
      </c>
      <c r="L5433" s="9"/>
      <c r="M5433" s="2">
        <v>0</v>
      </c>
      <c r="N5433" s="9"/>
      <c r="O5433" s="2">
        <v>0</v>
      </c>
      <c r="P5433" s="9"/>
      <c r="Q5433" s="2">
        <f t="shared" si="145"/>
        <v>0</v>
      </c>
    </row>
    <row r="5434" spans="1:21" ht="11.85" hidden="1" customHeight="1" x14ac:dyDescent="0.2">
      <c r="A5434" s="3" t="s">
        <v>2097</v>
      </c>
      <c r="C5434" s="2">
        <v>0</v>
      </c>
      <c r="E5434" s="2">
        <v>0</v>
      </c>
      <c r="G5434" s="2">
        <v>0</v>
      </c>
      <c r="I5434" s="2">
        <v>0</v>
      </c>
      <c r="K5434" s="2">
        <v>0</v>
      </c>
      <c r="L5434" s="9"/>
      <c r="M5434" s="2">
        <v>0</v>
      </c>
      <c r="N5434" s="9"/>
      <c r="O5434" s="2">
        <v>0</v>
      </c>
      <c r="P5434" s="9"/>
      <c r="Q5434" s="2">
        <f t="shared" si="145"/>
        <v>0</v>
      </c>
    </row>
    <row r="5435" spans="1:21" ht="11.85" hidden="1" customHeight="1" x14ac:dyDescent="0.2">
      <c r="A5435" s="3" t="s">
        <v>2098</v>
      </c>
      <c r="C5435" s="2">
        <v>0</v>
      </c>
      <c r="E5435" s="2">
        <v>0</v>
      </c>
      <c r="G5435" s="2">
        <v>0</v>
      </c>
      <c r="I5435" s="2">
        <v>0</v>
      </c>
      <c r="K5435" s="2">
        <v>0</v>
      </c>
      <c r="L5435" s="9"/>
      <c r="M5435" s="2">
        <v>0</v>
      </c>
      <c r="N5435" s="9"/>
      <c r="O5435" s="2">
        <v>0</v>
      </c>
      <c r="P5435" s="9"/>
      <c r="Q5435" s="2">
        <f t="shared" si="145"/>
        <v>0</v>
      </c>
    </row>
    <row r="5436" spans="1:21" ht="11.85" hidden="1" customHeight="1" x14ac:dyDescent="0.2">
      <c r="A5436" s="3" t="s">
        <v>2099</v>
      </c>
      <c r="C5436" s="2">
        <v>0</v>
      </c>
      <c r="E5436" s="2">
        <v>0</v>
      </c>
      <c r="G5436" s="2">
        <v>0</v>
      </c>
      <c r="I5436" s="2">
        <v>0</v>
      </c>
      <c r="K5436" s="2">
        <v>0</v>
      </c>
      <c r="L5436" s="9"/>
      <c r="M5436" s="2">
        <v>0</v>
      </c>
      <c r="N5436" s="9"/>
      <c r="O5436" s="2">
        <v>0</v>
      </c>
      <c r="P5436" s="9"/>
      <c r="Q5436" s="2">
        <f t="shared" si="145"/>
        <v>0</v>
      </c>
    </row>
    <row r="5437" spans="1:21" ht="11.85" hidden="1" customHeight="1" x14ac:dyDescent="0.2">
      <c r="A5437" s="3" t="s">
        <v>2100</v>
      </c>
      <c r="C5437" s="12">
        <v>0</v>
      </c>
      <c r="E5437" s="12">
        <v>0</v>
      </c>
      <c r="G5437" s="12">
        <v>0</v>
      </c>
      <c r="I5437" s="12">
        <v>0</v>
      </c>
      <c r="K5437" s="12">
        <v>0</v>
      </c>
      <c r="L5437" s="9"/>
      <c r="M5437" s="12">
        <v>0</v>
      </c>
      <c r="N5437" s="9"/>
      <c r="O5437" s="12">
        <v>0</v>
      </c>
      <c r="P5437" s="9"/>
      <c r="Q5437" s="12">
        <f t="shared" si="145"/>
        <v>0</v>
      </c>
    </row>
    <row r="5438" spans="1:21" ht="11.85" customHeight="1" x14ac:dyDescent="0.2">
      <c r="A5438" s="3" t="s">
        <v>304</v>
      </c>
      <c r="C5438" s="2">
        <f>SUM(C5394:C5437)</f>
        <v>615428.03</v>
      </c>
      <c r="E5438" s="2">
        <f>SUM(E5394:E5437)</f>
        <v>7990</v>
      </c>
      <c r="G5438" s="2">
        <f>SUM(G5394:G5437)</f>
        <v>717868.75</v>
      </c>
      <c r="I5438" s="2">
        <f>SUM(I5394:I5437)</f>
        <v>720000</v>
      </c>
      <c r="K5438" s="2">
        <f>SUM(K5394:K5437)</f>
        <v>744627</v>
      </c>
      <c r="L5438" s="9"/>
      <c r="M5438" s="2">
        <f>SUM(M5394:M5437)</f>
        <v>0</v>
      </c>
      <c r="N5438" s="9"/>
      <c r="O5438" s="2">
        <f>SUM(O5394:O5437)</f>
        <v>1400000</v>
      </c>
      <c r="P5438" s="9"/>
      <c r="Q5438" s="2">
        <f>SUM(Q5394:Q5437)</f>
        <v>1400000</v>
      </c>
      <c r="T5438" s="14"/>
      <c r="U5438" s="9"/>
    </row>
    <row r="5439" spans="1:21" ht="11.85" customHeight="1" x14ac:dyDescent="0.2">
      <c r="L5439" s="9"/>
      <c r="N5439" s="9"/>
      <c r="P5439" s="9"/>
    </row>
    <row r="5440" spans="1:21" ht="11.85" customHeight="1" x14ac:dyDescent="0.2">
      <c r="A5440" s="10" t="s">
        <v>332</v>
      </c>
      <c r="L5440" s="9"/>
      <c r="N5440" s="9"/>
      <c r="P5440" s="9"/>
    </row>
    <row r="5441" spans="1:21" ht="11.85" customHeight="1" x14ac:dyDescent="0.15">
      <c r="A5441" s="3" t="s">
        <v>2101</v>
      </c>
      <c r="C5441" s="2">
        <v>0</v>
      </c>
      <c r="E5441" s="2">
        <v>0</v>
      </c>
      <c r="G5441" s="2">
        <v>0</v>
      </c>
      <c r="I5441" s="2">
        <v>14000</v>
      </c>
      <c r="K5441" s="2">
        <v>14000</v>
      </c>
      <c r="L5441" s="9"/>
      <c r="M5441" s="2">
        <v>65000</v>
      </c>
      <c r="N5441" s="9"/>
      <c r="O5441" s="2">
        <v>0</v>
      </c>
      <c r="P5441" s="9"/>
      <c r="Q5441" s="2">
        <f>M5441+O5441</f>
        <v>65000</v>
      </c>
      <c r="R5441" s="15"/>
      <c r="S5441" s="16"/>
      <c r="T5441" s="18"/>
    </row>
    <row r="5442" spans="1:21" ht="11.85" customHeight="1" x14ac:dyDescent="0.2">
      <c r="A5442" s="3" t="s">
        <v>2102</v>
      </c>
      <c r="C5442" s="12">
        <v>0</v>
      </c>
      <c r="E5442" s="12">
        <v>0</v>
      </c>
      <c r="G5442" s="12">
        <v>0</v>
      </c>
      <c r="I5442" s="12">
        <v>0</v>
      </c>
      <c r="K5442" s="12">
        <v>0</v>
      </c>
      <c r="L5442" s="9"/>
      <c r="M5442" s="12">
        <v>0</v>
      </c>
      <c r="N5442" s="9"/>
      <c r="O5442" s="12">
        <v>0</v>
      </c>
      <c r="P5442" s="9"/>
      <c r="Q5442" s="12">
        <f>M5442+O5442</f>
        <v>0</v>
      </c>
      <c r="R5442" s="15"/>
      <c r="S5442" s="16"/>
    </row>
    <row r="5443" spans="1:21" ht="11.85" customHeight="1" x14ac:dyDescent="0.2">
      <c r="A5443" s="3" t="s">
        <v>336</v>
      </c>
      <c r="C5443" s="2">
        <f>SUM(C5441:C5442)</f>
        <v>0</v>
      </c>
      <c r="E5443" s="2">
        <f>SUM(E5441:E5442)</f>
        <v>0</v>
      </c>
      <c r="G5443" s="2">
        <f>SUM(G5441:G5442)</f>
        <v>0</v>
      </c>
      <c r="I5443" s="2">
        <f>SUM(I5441:I5442)</f>
        <v>14000</v>
      </c>
      <c r="K5443" s="2">
        <f>SUM(K5441:K5442)</f>
        <v>14000</v>
      </c>
      <c r="L5443" s="9"/>
      <c r="M5443" s="2">
        <f>SUM(M5441:M5442)</f>
        <v>65000</v>
      </c>
      <c r="N5443" s="9"/>
      <c r="O5443" s="2">
        <f>SUM(O5441:O5442)</f>
        <v>0</v>
      </c>
      <c r="P5443" s="9"/>
      <c r="Q5443" s="2">
        <f>SUM(Q5441:Q5442)</f>
        <v>65000</v>
      </c>
      <c r="T5443" s="14"/>
    </row>
    <row r="5444" spans="1:21" ht="11.85" customHeight="1" x14ac:dyDescent="0.2">
      <c r="L5444" s="9"/>
      <c r="N5444" s="9"/>
      <c r="P5444" s="9"/>
    </row>
    <row r="5445" spans="1:21" ht="11.85" customHeight="1" x14ac:dyDescent="0.2">
      <c r="A5445" s="3" t="s">
        <v>2103</v>
      </c>
      <c r="C5445" s="2">
        <f>C5438+C5443</f>
        <v>615428.03</v>
      </c>
      <c r="E5445" s="2">
        <f>E5438+E5443</f>
        <v>7990</v>
      </c>
      <c r="G5445" s="2">
        <f>G5438+G5443</f>
        <v>717868.75</v>
      </c>
      <c r="I5445" s="2">
        <f>I5438+I5443</f>
        <v>734000</v>
      </c>
      <c r="K5445" s="2">
        <f>K5438+K5443</f>
        <v>758627</v>
      </c>
      <c r="L5445" s="9"/>
      <c r="M5445" s="2">
        <f>M5438+M5443</f>
        <v>65000</v>
      </c>
      <c r="N5445" s="9"/>
      <c r="O5445" s="2">
        <f>O5438+O5443</f>
        <v>1400000</v>
      </c>
      <c r="P5445" s="9"/>
      <c r="Q5445" s="2">
        <f>Q5438+Q5443</f>
        <v>1465000</v>
      </c>
      <c r="U5445" s="48"/>
    </row>
    <row r="5446" spans="1:21" ht="11.85" customHeight="1" x14ac:dyDescent="0.2">
      <c r="L5446" s="9"/>
      <c r="N5446" s="9"/>
      <c r="P5446" s="9"/>
    </row>
    <row r="5447" spans="1:21" ht="11.85" customHeight="1" x14ac:dyDescent="0.2">
      <c r="L5447" s="9"/>
      <c r="N5447" s="9"/>
      <c r="P5447" s="9"/>
    </row>
    <row r="5448" spans="1:21" ht="11.85" customHeight="1" x14ac:dyDescent="0.2">
      <c r="L5448" s="9"/>
      <c r="N5448" s="9"/>
      <c r="P5448" s="9"/>
    </row>
    <row r="5449" spans="1:21" ht="11.85" customHeight="1" x14ac:dyDescent="0.2">
      <c r="L5449" s="9"/>
      <c r="N5449" s="9"/>
      <c r="P5449" s="9"/>
    </row>
    <row r="5450" spans="1:21" ht="11.85" customHeight="1" x14ac:dyDescent="0.2">
      <c r="L5450" s="9"/>
      <c r="N5450" s="9"/>
      <c r="P5450" s="9"/>
    </row>
    <row r="5451" spans="1:21" ht="11.85" customHeight="1" x14ac:dyDescent="0.2">
      <c r="A5451" s="1"/>
      <c r="B5451" s="1"/>
      <c r="E5451" s="2" t="str">
        <f>$E$1</f>
        <v>CITY OF BRADY</v>
      </c>
    </row>
    <row r="5452" spans="1:21" ht="11.85" customHeight="1" x14ac:dyDescent="0.2">
      <c r="E5452" s="2" t="str">
        <f>$E$2</f>
        <v>BUDGET REPORT</v>
      </c>
    </row>
    <row r="5453" spans="1:21" ht="11.85" customHeight="1" x14ac:dyDescent="0.2">
      <c r="E5453" s="2" t="str">
        <f>$E$3</f>
        <v>FISCAL YEAR 2024 - 2025</v>
      </c>
    </row>
    <row r="5454" spans="1:21" ht="11.85" customHeight="1" x14ac:dyDescent="0.2">
      <c r="A5454" s="3" t="s">
        <v>1953</v>
      </c>
    </row>
    <row r="5455" spans="1:21" ht="11.85" customHeight="1" x14ac:dyDescent="0.2">
      <c r="A5455" s="3" t="s">
        <v>2104</v>
      </c>
    </row>
    <row r="5456" spans="1:21" ht="11.85" customHeight="1" x14ac:dyDescent="0.2">
      <c r="A5456" s="32" t="s">
        <v>674</v>
      </c>
      <c r="I5456" s="53" t="str">
        <f>$I$6</f>
        <v>(----- 2023-2024------)</v>
      </c>
      <c r="J5456" s="53"/>
      <c r="K5456" s="53"/>
      <c r="L5456" s="6"/>
      <c r="M5456" s="54" t="str">
        <f>$M$6</f>
        <v>2024-2025</v>
      </c>
      <c r="N5456" s="54"/>
      <c r="O5456" s="54"/>
      <c r="P5456" s="54"/>
      <c r="Q5456" s="54"/>
    </row>
    <row r="5457" spans="1:21" ht="11.85" customHeight="1" x14ac:dyDescent="0.2">
      <c r="C5457" s="5" t="str">
        <f>$C$7</f>
        <v>2020-2021</v>
      </c>
      <c r="D5457" s="5"/>
      <c r="E5457" s="5" t="str">
        <f>$E$7</f>
        <v>2021-2022</v>
      </c>
      <c r="F5457" s="5"/>
      <c r="G5457" s="5" t="str">
        <f>$G$7</f>
        <v>2022-2023</v>
      </c>
      <c r="H5457" s="5"/>
      <c r="I5457" s="5" t="s">
        <v>9</v>
      </c>
      <c r="J5457" s="5"/>
      <c r="K5457" s="5" t="str">
        <f>+$K$7</f>
        <v>PROJECTED</v>
      </c>
      <c r="L5457" s="6"/>
      <c r="M5457" s="5">
        <f>$M$7</f>
        <v>0</v>
      </c>
      <c r="N5457" s="6"/>
      <c r="O5457" s="5" t="str">
        <f>$O$7</f>
        <v>2024-2025</v>
      </c>
      <c r="P5457" s="6"/>
      <c r="Q5457" s="5" t="str">
        <f>$Q$7</f>
        <v>APPROVED</v>
      </c>
    </row>
    <row r="5458" spans="1:21" ht="11.85" customHeight="1" x14ac:dyDescent="0.2">
      <c r="A5458" s="7" t="s">
        <v>273</v>
      </c>
      <c r="C5458" s="8" t="s">
        <v>12</v>
      </c>
      <c r="D5458" s="5"/>
      <c r="E5458" s="8" t="s">
        <v>12</v>
      </c>
      <c r="F5458" s="5"/>
      <c r="G5458" s="8" t="s">
        <v>12</v>
      </c>
      <c r="H5458" s="5"/>
      <c r="I5458" s="8" t="s">
        <v>13</v>
      </c>
      <c r="J5458" s="5"/>
      <c r="K5458" s="8" t="s">
        <v>13</v>
      </c>
      <c r="L5458" s="6"/>
      <c r="M5458" s="8" t="str">
        <f>$M$8</f>
        <v>BASE</v>
      </c>
      <c r="N5458" s="6"/>
      <c r="O5458" s="8" t="str">
        <f>$O$8</f>
        <v>SUPPLEMENTAL</v>
      </c>
      <c r="P5458" s="6"/>
      <c r="Q5458" s="8" t="str">
        <f>$Q$8</f>
        <v>BUDGET</v>
      </c>
    </row>
    <row r="5459" spans="1:21" ht="11.85" customHeight="1" x14ac:dyDescent="0.2"/>
    <row r="5460" spans="1:21" ht="11.85" customHeight="1" x14ac:dyDescent="0.2">
      <c r="A5460" s="10" t="s">
        <v>274</v>
      </c>
    </row>
    <row r="5461" spans="1:21" ht="11.85" customHeight="1" x14ac:dyDescent="0.2">
      <c r="A5461" s="3" t="s">
        <v>2105</v>
      </c>
      <c r="C5461" s="2">
        <v>0</v>
      </c>
      <c r="E5461" s="2">
        <v>0</v>
      </c>
      <c r="G5461" s="2">
        <v>0</v>
      </c>
      <c r="I5461" s="2">
        <v>0</v>
      </c>
      <c r="K5461" s="2">
        <v>0</v>
      </c>
      <c r="L5461" s="9"/>
      <c r="M5461" s="2">
        <v>0</v>
      </c>
      <c r="N5461" s="9"/>
      <c r="O5461" s="2">
        <v>0</v>
      </c>
      <c r="P5461" s="9"/>
      <c r="Q5461" s="2">
        <f>M5461+O5461</f>
        <v>0</v>
      </c>
      <c r="T5461" s="11"/>
    </row>
    <row r="5462" spans="1:21" ht="11.85" customHeight="1" x14ac:dyDescent="0.2">
      <c r="A5462" s="3" t="s">
        <v>2106</v>
      </c>
      <c r="C5462" s="2">
        <v>0</v>
      </c>
      <c r="E5462" s="2">
        <v>0</v>
      </c>
      <c r="G5462" s="2">
        <v>0</v>
      </c>
      <c r="I5462" s="2">
        <v>0</v>
      </c>
      <c r="K5462" s="2">
        <v>0</v>
      </c>
      <c r="L5462" s="9"/>
      <c r="M5462" s="2">
        <v>0</v>
      </c>
      <c r="N5462" s="9"/>
      <c r="O5462" s="2">
        <v>0</v>
      </c>
      <c r="P5462" s="9"/>
      <c r="Q5462" s="2">
        <f>M5462+O5462</f>
        <v>0</v>
      </c>
      <c r="T5462" s="11"/>
    </row>
    <row r="5463" spans="1:21" ht="11.85" customHeight="1" x14ac:dyDescent="0.2">
      <c r="A5463" s="3" t="s">
        <v>2107</v>
      </c>
      <c r="C5463" s="2">
        <v>0</v>
      </c>
      <c r="E5463" s="2">
        <v>0</v>
      </c>
      <c r="G5463" s="2">
        <v>0</v>
      </c>
      <c r="I5463" s="2">
        <v>0</v>
      </c>
      <c r="K5463" s="2">
        <v>0</v>
      </c>
      <c r="L5463" s="9"/>
      <c r="M5463" s="2">
        <v>0</v>
      </c>
      <c r="N5463" s="9"/>
      <c r="O5463" s="2">
        <v>0</v>
      </c>
      <c r="P5463" s="9"/>
      <c r="Q5463" s="2">
        <f>M5463+O5463</f>
        <v>0</v>
      </c>
      <c r="T5463" s="11"/>
    </row>
    <row r="5464" spans="1:21" ht="11.85" customHeight="1" x14ac:dyDescent="0.2">
      <c r="A5464" s="3" t="s">
        <v>2108</v>
      </c>
      <c r="C5464" s="2">
        <v>0</v>
      </c>
      <c r="E5464" s="2">
        <v>0</v>
      </c>
      <c r="G5464" s="2">
        <v>0</v>
      </c>
      <c r="I5464" s="2">
        <v>0</v>
      </c>
      <c r="K5464" s="2">
        <v>0</v>
      </c>
      <c r="L5464" s="9"/>
      <c r="M5464" s="2">
        <v>0</v>
      </c>
      <c r="N5464" s="9"/>
      <c r="O5464" s="2">
        <v>0</v>
      </c>
      <c r="P5464" s="9"/>
      <c r="Q5464" s="2">
        <f>M5464+O5464</f>
        <v>0</v>
      </c>
      <c r="T5464" s="11"/>
    </row>
    <row r="5465" spans="1:21" ht="11.85" customHeight="1" x14ac:dyDescent="0.2">
      <c r="A5465" s="3" t="s">
        <v>2109</v>
      </c>
      <c r="C5465" s="12">
        <v>0</v>
      </c>
      <c r="E5465" s="12">
        <v>0</v>
      </c>
      <c r="G5465" s="12">
        <v>0</v>
      </c>
      <c r="I5465" s="12">
        <v>0</v>
      </c>
      <c r="K5465" s="12">
        <v>0</v>
      </c>
      <c r="L5465" s="9"/>
      <c r="M5465" s="12">
        <v>0</v>
      </c>
      <c r="N5465" s="9"/>
      <c r="O5465" s="12">
        <v>0</v>
      </c>
      <c r="P5465" s="9"/>
      <c r="Q5465" s="12">
        <f>M5465+O5465</f>
        <v>0</v>
      </c>
      <c r="T5465" s="11"/>
    </row>
    <row r="5466" spans="1:21" ht="11.85" customHeight="1" x14ac:dyDescent="0.2">
      <c r="A5466" s="3" t="s">
        <v>285</v>
      </c>
      <c r="C5466" s="2">
        <f>SUM(C5461:C5465)</f>
        <v>0</v>
      </c>
      <c r="E5466" s="2">
        <f>SUM(E5461:E5465)</f>
        <v>0</v>
      </c>
      <c r="G5466" s="2">
        <f>SUM(G5461:G5465)</f>
        <v>0</v>
      </c>
      <c r="I5466" s="2">
        <f>SUM(I5461:I5465)</f>
        <v>0</v>
      </c>
      <c r="K5466" s="2">
        <f>SUM(K5461:K5465)</f>
        <v>0</v>
      </c>
      <c r="L5466" s="9"/>
      <c r="M5466" s="2">
        <f>SUM(M5461:M5465)</f>
        <v>0</v>
      </c>
      <c r="N5466" s="9"/>
      <c r="O5466" s="2">
        <f>SUM(O5461:O5465)</f>
        <v>0</v>
      </c>
      <c r="P5466" s="9"/>
      <c r="Q5466" s="2">
        <f>SUM(Q5461:Q5465)</f>
        <v>0</v>
      </c>
      <c r="R5466" s="9"/>
      <c r="U5466" s="9"/>
    </row>
    <row r="5467" spans="1:21" ht="11.85" customHeight="1" x14ac:dyDescent="0.2"/>
    <row r="5468" spans="1:21" ht="11.85" customHeight="1" x14ac:dyDescent="0.2">
      <c r="A5468" s="10" t="s">
        <v>286</v>
      </c>
      <c r="L5468" s="9"/>
      <c r="N5468" s="9"/>
      <c r="P5468" s="9"/>
    </row>
    <row r="5469" spans="1:21" ht="11.85" customHeight="1" x14ac:dyDescent="0.2">
      <c r="A5469" s="3" t="s">
        <v>2110</v>
      </c>
      <c r="C5469" s="12">
        <v>0</v>
      </c>
      <c r="E5469" s="12">
        <v>0</v>
      </c>
      <c r="G5469" s="12">
        <v>0</v>
      </c>
      <c r="I5469" s="12">
        <v>0</v>
      </c>
      <c r="K5469" s="12">
        <v>0</v>
      </c>
      <c r="L5469" s="9"/>
      <c r="M5469" s="12">
        <v>0</v>
      </c>
      <c r="N5469" s="9"/>
      <c r="O5469" s="12">
        <v>0</v>
      </c>
      <c r="P5469" s="9"/>
      <c r="Q5469" s="12">
        <f>+M5469+O5469</f>
        <v>0</v>
      </c>
    </row>
    <row r="5470" spans="1:21" ht="11.85" customHeight="1" x14ac:dyDescent="0.2">
      <c r="A5470" s="3" t="s">
        <v>304</v>
      </c>
      <c r="C5470" s="2">
        <f>+C5469</f>
        <v>0</v>
      </c>
      <c r="E5470" s="2">
        <f>+E5469</f>
        <v>0</v>
      </c>
      <c r="G5470" s="2">
        <f>+G5469</f>
        <v>0</v>
      </c>
      <c r="I5470" s="2">
        <f>+I5469</f>
        <v>0</v>
      </c>
      <c r="K5470" s="2">
        <f>+K5469</f>
        <v>0</v>
      </c>
      <c r="L5470" s="9"/>
      <c r="M5470" s="2">
        <f>+M5469</f>
        <v>0</v>
      </c>
      <c r="N5470" s="9"/>
      <c r="O5470" s="2">
        <f>+O5469</f>
        <v>0</v>
      </c>
      <c r="P5470" s="9"/>
      <c r="Q5470" s="2">
        <f>+Q5469</f>
        <v>0</v>
      </c>
    </row>
    <row r="5471" spans="1:21" ht="11.85" customHeight="1" x14ac:dyDescent="0.2"/>
    <row r="5472" spans="1:21" ht="11.85" customHeight="1" x14ac:dyDescent="0.2">
      <c r="A5472" s="10" t="s">
        <v>305</v>
      </c>
      <c r="L5472" s="9"/>
      <c r="N5472" s="9"/>
      <c r="P5472" s="9"/>
    </row>
    <row r="5473" spans="1:22" ht="11.85" customHeight="1" x14ac:dyDescent="0.2">
      <c r="A5473" s="3" t="s">
        <v>2111</v>
      </c>
      <c r="C5473" s="2">
        <v>0</v>
      </c>
      <c r="E5473" s="2">
        <v>0</v>
      </c>
      <c r="G5473" s="2">
        <v>0</v>
      </c>
      <c r="I5473" s="2">
        <v>0</v>
      </c>
      <c r="K5473" s="2">
        <v>0</v>
      </c>
      <c r="L5473" s="9"/>
      <c r="M5473" s="2">
        <v>0</v>
      </c>
      <c r="N5473" s="9"/>
      <c r="O5473" s="2">
        <v>0</v>
      </c>
      <c r="P5473" s="9"/>
      <c r="Q5473" s="2">
        <f>+M5473+O5473</f>
        <v>0</v>
      </c>
    </row>
    <row r="5474" spans="1:22" ht="11.85" customHeight="1" x14ac:dyDescent="0.2">
      <c r="A5474" s="3" t="s">
        <v>2112</v>
      </c>
      <c r="C5474" s="2">
        <v>0</v>
      </c>
      <c r="E5474" s="2">
        <v>0</v>
      </c>
      <c r="G5474" s="2">
        <v>0</v>
      </c>
      <c r="I5474" s="2">
        <v>0</v>
      </c>
      <c r="K5474" s="2">
        <v>0</v>
      </c>
      <c r="L5474" s="9"/>
      <c r="M5474" s="2">
        <v>0</v>
      </c>
      <c r="N5474" s="9"/>
      <c r="O5474" s="2">
        <v>0</v>
      </c>
      <c r="P5474" s="9"/>
      <c r="Q5474" s="2">
        <f>+M5474+O5474</f>
        <v>0</v>
      </c>
    </row>
    <row r="5475" spans="1:22" ht="11.85" customHeight="1" x14ac:dyDescent="0.2">
      <c r="A5475" s="3" t="s">
        <v>2113</v>
      </c>
      <c r="C5475" s="12">
        <v>0</v>
      </c>
      <c r="E5475" s="12">
        <v>0</v>
      </c>
      <c r="G5475" s="12">
        <v>0</v>
      </c>
      <c r="I5475" s="12">
        <v>0</v>
      </c>
      <c r="K5475" s="12">
        <v>0</v>
      </c>
      <c r="L5475" s="9"/>
      <c r="M5475" s="12">
        <v>0</v>
      </c>
      <c r="N5475" s="9"/>
      <c r="O5475" s="12">
        <v>0</v>
      </c>
      <c r="P5475" s="9"/>
      <c r="Q5475" s="12">
        <f>M5475+O5475</f>
        <v>0</v>
      </c>
      <c r="T5475" s="11"/>
      <c r="V5475" s="27"/>
    </row>
    <row r="5476" spans="1:22" ht="11.85" customHeight="1" x14ac:dyDescent="0.2">
      <c r="A5476" s="3" t="s">
        <v>328</v>
      </c>
      <c r="C5476" s="2">
        <f>SUM(C5473:C5475)</f>
        <v>0</v>
      </c>
      <c r="E5476" s="2">
        <f>SUM(E5473:E5475)</f>
        <v>0</v>
      </c>
      <c r="G5476" s="2">
        <f>SUM(G5473:G5475)</f>
        <v>0</v>
      </c>
      <c r="I5476" s="2">
        <f>SUM(I5473:I5475)</f>
        <v>0</v>
      </c>
      <c r="K5476" s="2">
        <f>SUM(K5473:K5475)</f>
        <v>0</v>
      </c>
      <c r="L5476" s="9"/>
      <c r="M5476" s="2">
        <f>SUM(M5473:M5475)</f>
        <v>0</v>
      </c>
      <c r="N5476" s="9"/>
      <c r="O5476" s="2">
        <f>SUM(O5473:O5475)</f>
        <v>0</v>
      </c>
      <c r="P5476" s="9"/>
      <c r="Q5476" s="2">
        <f>SUM(Q5473:Q5475)</f>
        <v>0</v>
      </c>
    </row>
    <row r="5477" spans="1:22" ht="11.85" customHeight="1" x14ac:dyDescent="0.2">
      <c r="L5477" s="9"/>
      <c r="N5477" s="9"/>
      <c r="P5477" s="9"/>
    </row>
    <row r="5478" spans="1:22" ht="11.85" customHeight="1" x14ac:dyDescent="0.2">
      <c r="A5478" s="3" t="s">
        <v>2114</v>
      </c>
      <c r="C5478" s="2">
        <v>0</v>
      </c>
      <c r="E5478" s="2">
        <v>0</v>
      </c>
      <c r="G5478" s="2">
        <v>0</v>
      </c>
      <c r="I5478" s="2">
        <v>0</v>
      </c>
      <c r="K5478" s="2">
        <v>0</v>
      </c>
      <c r="L5478" s="9"/>
      <c r="M5478" s="2">
        <v>0</v>
      </c>
      <c r="N5478" s="9"/>
      <c r="O5478" s="2">
        <v>0</v>
      </c>
      <c r="P5478" s="9"/>
      <c r="Q5478" s="2">
        <f>M5478+O5478</f>
        <v>0</v>
      </c>
      <c r="T5478" s="11"/>
    </row>
    <row r="5479" spans="1:22" ht="11.85" customHeight="1" x14ac:dyDescent="0.2">
      <c r="A5479" s="3" t="s">
        <v>2115</v>
      </c>
      <c r="C5479" s="12">
        <v>0</v>
      </c>
      <c r="E5479" s="12">
        <v>0</v>
      </c>
      <c r="G5479" s="12">
        <v>0</v>
      </c>
      <c r="I5479" s="12">
        <v>0</v>
      </c>
      <c r="K5479" s="12">
        <v>0</v>
      </c>
      <c r="L5479" s="9"/>
      <c r="M5479" s="12">
        <v>0</v>
      </c>
      <c r="N5479" s="9"/>
      <c r="O5479" s="12">
        <v>0</v>
      </c>
      <c r="P5479" s="9"/>
      <c r="Q5479" s="12">
        <f>M5479+O5479</f>
        <v>0</v>
      </c>
      <c r="T5479" s="11"/>
    </row>
    <row r="5480" spans="1:22" ht="11.85" customHeight="1" x14ac:dyDescent="0.2">
      <c r="A5480" s="3" t="s">
        <v>331</v>
      </c>
      <c r="C5480" s="2">
        <f>SUM(C5478:C5479)</f>
        <v>0</v>
      </c>
      <c r="E5480" s="2">
        <f>SUM(E5478:E5479)</f>
        <v>0</v>
      </c>
      <c r="G5480" s="2">
        <f>SUM(G5478:G5479)</f>
        <v>0</v>
      </c>
      <c r="I5480" s="2">
        <f>SUM(I5478:I5479)</f>
        <v>0</v>
      </c>
      <c r="K5480" s="2">
        <f>SUM(K5478:K5479)</f>
        <v>0</v>
      </c>
      <c r="L5480" s="9"/>
      <c r="M5480" s="2">
        <f>SUM(M5478:M5479)</f>
        <v>0</v>
      </c>
      <c r="N5480" s="9"/>
      <c r="O5480" s="2">
        <f>SUM(O5478:O5479)</f>
        <v>0</v>
      </c>
      <c r="P5480" s="9"/>
      <c r="Q5480" s="2">
        <f>SUM(Q5478:Q5479)</f>
        <v>0</v>
      </c>
      <c r="T5480" s="11"/>
    </row>
    <row r="5481" spans="1:22" ht="11.85" customHeight="1" x14ac:dyDescent="0.2">
      <c r="L5481" s="9"/>
      <c r="N5481" s="9"/>
      <c r="P5481" s="9"/>
    </row>
    <row r="5482" spans="1:22" ht="11.85" customHeight="1" x14ac:dyDescent="0.2">
      <c r="A5482" s="10" t="s">
        <v>332</v>
      </c>
      <c r="L5482" s="9"/>
      <c r="N5482" s="9"/>
      <c r="P5482" s="9"/>
    </row>
    <row r="5483" spans="1:22" ht="11.85" customHeight="1" x14ac:dyDescent="0.2">
      <c r="A5483" s="3" t="s">
        <v>2116</v>
      </c>
      <c r="C5483" s="12">
        <v>0</v>
      </c>
      <c r="E5483" s="12">
        <v>0</v>
      </c>
      <c r="G5483" s="12">
        <v>0</v>
      </c>
      <c r="I5483" s="12">
        <v>0</v>
      </c>
      <c r="K5483" s="12">
        <v>0</v>
      </c>
      <c r="L5483" s="9"/>
      <c r="M5483" s="12">
        <v>0</v>
      </c>
      <c r="N5483" s="9"/>
      <c r="O5483" s="12">
        <v>0</v>
      </c>
      <c r="P5483" s="9"/>
      <c r="Q5483" s="12">
        <f>M5483+O5483</f>
        <v>0</v>
      </c>
    </row>
    <row r="5484" spans="1:22" ht="11.85" customHeight="1" x14ac:dyDescent="0.2">
      <c r="A5484" s="3" t="s">
        <v>336</v>
      </c>
      <c r="C5484" s="2">
        <f>SUM(C5483:C5483)</f>
        <v>0</v>
      </c>
      <c r="E5484" s="2">
        <f>SUM(E5483:E5483)</f>
        <v>0</v>
      </c>
      <c r="G5484" s="2">
        <f>SUM(G5483:G5483)</f>
        <v>0</v>
      </c>
      <c r="I5484" s="2">
        <f>SUM(I5483:I5483)</f>
        <v>0</v>
      </c>
      <c r="K5484" s="2">
        <f>SUM(K5483:K5483)</f>
        <v>0</v>
      </c>
      <c r="L5484" s="9"/>
      <c r="M5484" s="2">
        <f>SUM(M5483:M5483)</f>
        <v>0</v>
      </c>
      <c r="N5484" s="9"/>
      <c r="O5484" s="2">
        <f>SUM(O5483:O5483)</f>
        <v>0</v>
      </c>
      <c r="P5484" s="9"/>
      <c r="Q5484" s="2">
        <f>SUM(Q5483:Q5483)</f>
        <v>0</v>
      </c>
      <c r="V5484" s="38"/>
    </row>
    <row r="5485" spans="1:22" ht="11.85" customHeight="1" x14ac:dyDescent="0.2">
      <c r="L5485" s="9"/>
      <c r="N5485" s="9"/>
      <c r="P5485" s="9"/>
      <c r="T5485" s="11"/>
    </row>
    <row r="5486" spans="1:22" ht="11.85" customHeight="1" x14ac:dyDescent="0.2">
      <c r="A5486" s="3" t="s">
        <v>2117</v>
      </c>
      <c r="C5486" s="2">
        <f>+C5476+C5484+C5466+C5480+C5470</f>
        <v>0</v>
      </c>
      <c r="E5486" s="2">
        <f>+E5476+E5484+E5466+E5480+E5470</f>
        <v>0</v>
      </c>
      <c r="G5486" s="2">
        <f>+G5476+G5484+G5466+G5480+G5470</f>
        <v>0</v>
      </c>
      <c r="I5486" s="2">
        <f>+I5476+I5484+I5466+I5480+I5470</f>
        <v>0</v>
      </c>
      <c r="K5486" s="2">
        <f>+K5476+K5484+K5466+K5480+K5470</f>
        <v>0</v>
      </c>
      <c r="L5486" s="9"/>
      <c r="M5486" s="2">
        <f>+M5476+M5484+M5466+M5480+M5470</f>
        <v>0</v>
      </c>
      <c r="N5486" s="9"/>
      <c r="O5486" s="2">
        <f>+O5476+O5484+O5466+O5480+O5470</f>
        <v>0</v>
      </c>
      <c r="P5486" s="9"/>
      <c r="Q5486" s="2">
        <f>+Q5476+Q5484+Q5466+Q5480+Q5470</f>
        <v>0</v>
      </c>
      <c r="R5486" s="9"/>
      <c r="U5486" s="13"/>
    </row>
    <row r="5487" spans="1:22" ht="11.85" customHeight="1" x14ac:dyDescent="0.2">
      <c r="L5487" s="9"/>
      <c r="N5487" s="9"/>
      <c r="P5487" s="9"/>
      <c r="T5487" s="11"/>
    </row>
    <row r="5488" spans="1:22" ht="11.85" customHeight="1" x14ac:dyDescent="0.2">
      <c r="L5488" s="9"/>
      <c r="N5488" s="9"/>
      <c r="P5488" s="9"/>
    </row>
    <row r="5489" spans="1:17" ht="11.85" customHeight="1" x14ac:dyDescent="0.2">
      <c r="L5489" s="9"/>
      <c r="N5489" s="9"/>
      <c r="P5489" s="9"/>
    </row>
    <row r="5490" spans="1:17" ht="11.85" customHeight="1" x14ac:dyDescent="0.2">
      <c r="L5490" s="9"/>
      <c r="N5490" s="9"/>
      <c r="P5490" s="9"/>
    </row>
    <row r="5491" spans="1:17" ht="11.85" customHeight="1" x14ac:dyDescent="0.2">
      <c r="L5491" s="9"/>
      <c r="N5491" s="9"/>
      <c r="P5491" s="9"/>
    </row>
    <row r="5492" spans="1:17" ht="11.85" customHeight="1" x14ac:dyDescent="0.2">
      <c r="L5492" s="9"/>
      <c r="N5492" s="9"/>
      <c r="P5492" s="9"/>
    </row>
    <row r="5493" spans="1:17" ht="11.85" customHeight="1" x14ac:dyDescent="0.2">
      <c r="L5493" s="9"/>
      <c r="N5493" s="9"/>
      <c r="P5493" s="9"/>
    </row>
    <row r="5494" spans="1:17" ht="11.85" customHeight="1" x14ac:dyDescent="0.2">
      <c r="L5494" s="9"/>
      <c r="N5494" s="9"/>
      <c r="P5494" s="9"/>
    </row>
    <row r="5495" spans="1:17" ht="11.85" customHeight="1" x14ac:dyDescent="0.2">
      <c r="L5495" s="9"/>
      <c r="N5495" s="9"/>
      <c r="P5495" s="9"/>
    </row>
    <row r="5496" spans="1:17" ht="11.85" customHeight="1" x14ac:dyDescent="0.2">
      <c r="A5496" s="1"/>
      <c r="B5496" s="1"/>
      <c r="E5496" s="2" t="str">
        <f>$E$1</f>
        <v>CITY OF BRADY</v>
      </c>
    </row>
    <row r="5497" spans="1:17" ht="11.85" customHeight="1" x14ac:dyDescent="0.2">
      <c r="E5497" s="2" t="str">
        <f>$E$2</f>
        <v>BUDGET REPORT</v>
      </c>
    </row>
    <row r="5498" spans="1:17" ht="11.85" customHeight="1" x14ac:dyDescent="0.2">
      <c r="E5498" s="2" t="str">
        <f>$E$3</f>
        <v>FISCAL YEAR 2024 - 2025</v>
      </c>
    </row>
    <row r="5499" spans="1:17" ht="11.85" customHeight="1" x14ac:dyDescent="0.2">
      <c r="A5499" s="3" t="s">
        <v>1953</v>
      </c>
    </row>
    <row r="5500" spans="1:17" ht="11.85" customHeight="1" x14ac:dyDescent="0.2"/>
    <row r="5501" spans="1:17" ht="11.85" customHeight="1" x14ac:dyDescent="0.2">
      <c r="I5501" s="53" t="str">
        <f>$I$6</f>
        <v>(----- 2023-2024------)</v>
      </c>
      <c r="J5501" s="53"/>
      <c r="K5501" s="53"/>
      <c r="L5501" s="6"/>
      <c r="M5501" s="54" t="str">
        <f>$M$6</f>
        <v>2024-2025</v>
      </c>
      <c r="N5501" s="54"/>
      <c r="O5501" s="54"/>
      <c r="P5501" s="54"/>
      <c r="Q5501" s="54"/>
    </row>
    <row r="5502" spans="1:17" ht="11.85" customHeight="1" x14ac:dyDescent="0.2">
      <c r="C5502" s="5" t="str">
        <f>$C$7</f>
        <v>2020-2021</v>
      </c>
      <c r="D5502" s="5"/>
      <c r="E5502" s="5" t="str">
        <f>$E$7</f>
        <v>2021-2022</v>
      </c>
      <c r="F5502" s="5"/>
      <c r="G5502" s="5" t="str">
        <f>$G$7</f>
        <v>2022-2023</v>
      </c>
      <c r="H5502" s="5"/>
      <c r="I5502" s="5" t="s">
        <v>9</v>
      </c>
      <c r="J5502" s="5"/>
      <c r="K5502" s="5" t="str">
        <f>+$K$7</f>
        <v>PROJECTED</v>
      </c>
      <c r="L5502" s="6"/>
      <c r="M5502" s="5">
        <f>$M$7</f>
        <v>0</v>
      </c>
      <c r="N5502" s="6"/>
      <c r="O5502" s="5" t="str">
        <f>$O$7</f>
        <v>2024-2025</v>
      </c>
      <c r="P5502" s="6"/>
      <c r="Q5502" s="5" t="str">
        <f>$Q$7</f>
        <v>APPROVED</v>
      </c>
    </row>
    <row r="5503" spans="1:17" ht="11.85" customHeight="1" x14ac:dyDescent="0.2">
      <c r="A5503" s="7" t="s">
        <v>273</v>
      </c>
      <c r="C5503" s="8" t="s">
        <v>12</v>
      </c>
      <c r="D5503" s="5"/>
      <c r="E5503" s="8" t="s">
        <v>12</v>
      </c>
      <c r="F5503" s="5"/>
      <c r="G5503" s="8" t="s">
        <v>12</v>
      </c>
      <c r="H5503" s="5"/>
      <c r="I5503" s="8" t="s">
        <v>13</v>
      </c>
      <c r="J5503" s="5"/>
      <c r="K5503" s="8" t="s">
        <v>13</v>
      </c>
      <c r="L5503" s="6"/>
      <c r="M5503" s="8" t="str">
        <f>$M$8</f>
        <v>BASE</v>
      </c>
      <c r="N5503" s="6"/>
      <c r="O5503" s="8" t="str">
        <f>$O$8</f>
        <v>SUPPLEMENTAL</v>
      </c>
      <c r="P5503" s="6"/>
      <c r="Q5503" s="8" t="str">
        <f>$Q$8</f>
        <v>BUDGET</v>
      </c>
    </row>
    <row r="5504" spans="1:17" ht="11.85" customHeight="1" x14ac:dyDescent="0.2"/>
    <row r="5505" spans="1:21" ht="11.85" customHeight="1" x14ac:dyDescent="0.2">
      <c r="L5505" s="9"/>
      <c r="N5505" s="9"/>
      <c r="P5505" s="9"/>
    </row>
    <row r="5506" spans="1:21" ht="11.85" customHeight="1" thickBot="1" x14ac:dyDescent="0.25">
      <c r="A5506" s="3" t="s">
        <v>1123</v>
      </c>
      <c r="C5506" s="25">
        <f>C5284+C5373+C5445+C5486</f>
        <v>1085635.48</v>
      </c>
      <c r="E5506" s="25">
        <f>E5284+E5373+E5445+E5486</f>
        <v>479353.67999999993</v>
      </c>
      <c r="G5506" s="25">
        <f>G5284+G5373+G5445+G5486</f>
        <v>1229186.82</v>
      </c>
      <c r="I5506" s="25">
        <f>I5284+I5373+I5445+I5486</f>
        <v>1229155</v>
      </c>
      <c r="K5506" s="25">
        <f>K5284+K5373+K5445+K5486</f>
        <v>1270682</v>
      </c>
      <c r="L5506" s="9"/>
      <c r="M5506" s="25">
        <f>M5284+M5373+M5445+M5486</f>
        <v>566042</v>
      </c>
      <c r="N5506" s="9"/>
      <c r="O5506" s="25">
        <f>O5284+O5373+O5445+O5486</f>
        <v>1430000</v>
      </c>
      <c r="P5506" s="9"/>
      <c r="Q5506" s="25">
        <f>Q5284+Q5373+Q5445+Q5486</f>
        <v>1996042</v>
      </c>
      <c r="R5506" s="9"/>
      <c r="U5506" s="9"/>
    </row>
    <row r="5507" spans="1:21" ht="11.85" customHeight="1" thickTop="1" x14ac:dyDescent="0.2">
      <c r="L5507" s="9"/>
      <c r="N5507" s="9"/>
      <c r="P5507" s="9"/>
    </row>
    <row r="5508" spans="1:21" ht="11.85" customHeight="1" thickBot="1" x14ac:dyDescent="0.25">
      <c r="A5508" s="3" t="s">
        <v>2118</v>
      </c>
      <c r="C5508" s="25">
        <f>C5190-C5506</f>
        <v>53078.100000000093</v>
      </c>
      <c r="E5508" s="25">
        <f>E5190-E5506</f>
        <v>63197.800000000047</v>
      </c>
      <c r="G5508" s="25">
        <f>G5190-G5506</f>
        <v>93548.290000000037</v>
      </c>
      <c r="I5508" s="36">
        <f>I5190-I5506</f>
        <v>-12655</v>
      </c>
      <c r="J5508" s="9"/>
      <c r="K5508" s="36">
        <f>K5190-K5506</f>
        <v>-49182</v>
      </c>
      <c r="L5508" s="9"/>
      <c r="M5508" s="36">
        <f>M5190-M5506</f>
        <v>-65442</v>
      </c>
      <c r="N5508" s="9"/>
      <c r="O5508" s="36">
        <f>O5190-O5506</f>
        <v>-170000</v>
      </c>
      <c r="P5508" s="9"/>
      <c r="Q5508" s="36">
        <f>Q5190-Q5506</f>
        <v>-235442</v>
      </c>
    </row>
    <row r="5509" spans="1:21" ht="11.85" customHeight="1" thickTop="1" x14ac:dyDescent="0.2">
      <c r="L5509" s="9"/>
      <c r="M5509" s="9"/>
      <c r="N5509" s="9"/>
      <c r="O5509" s="9"/>
      <c r="P5509" s="9"/>
      <c r="Q5509" s="9"/>
    </row>
    <row r="5510" spans="1:21" ht="11.85" customHeight="1" x14ac:dyDescent="0.2">
      <c r="L5510" s="9"/>
      <c r="M5510" s="9"/>
      <c r="N5510" s="9"/>
      <c r="O5510" s="9"/>
      <c r="P5510" s="9"/>
      <c r="Q5510" s="9"/>
    </row>
    <row r="5511" spans="1:21" ht="11.85" customHeight="1" x14ac:dyDescent="0.2">
      <c r="A5511" s="3" t="s">
        <v>1125</v>
      </c>
      <c r="L5511" s="9"/>
      <c r="M5511" s="9"/>
      <c r="N5511" s="9"/>
      <c r="O5511" s="9"/>
      <c r="P5511" s="9"/>
      <c r="Q5511" s="9"/>
    </row>
    <row r="5512" spans="1:21" ht="11.85" customHeight="1" thickBot="1" x14ac:dyDescent="0.25">
      <c r="A5512" s="3" t="s">
        <v>2119</v>
      </c>
      <c r="C5512" s="25">
        <f>C5120+C5190-C5506</f>
        <v>184860.45000000019</v>
      </c>
      <c r="E5512" s="25">
        <f>E5120+E5190-E5506</f>
        <v>248058.25000000023</v>
      </c>
      <c r="G5512" s="25">
        <f>G5120+G5190-G5506</f>
        <v>341606.54000000027</v>
      </c>
      <c r="I5512" s="25">
        <f>I5120+I5190-I5506</f>
        <v>328951.54000000027</v>
      </c>
      <c r="K5512" s="25">
        <f>K5120+K5190-K5506</f>
        <v>292424.54000000027</v>
      </c>
      <c r="L5512" s="9"/>
      <c r="M5512" s="36">
        <f>M5120+M5190-M5506</f>
        <v>226982.54000000027</v>
      </c>
      <c r="N5512" s="9"/>
      <c r="O5512" s="9"/>
      <c r="P5512" s="9"/>
      <c r="Q5512" s="36">
        <f>Q5120+Q5190-Q5506</f>
        <v>56982.54000000027</v>
      </c>
      <c r="U5512" s="43"/>
    </row>
    <row r="5513" spans="1:21" ht="11.85" customHeight="1" thickTop="1" x14ac:dyDescent="0.2"/>
    <row r="5514" spans="1:21" ht="11.85" customHeight="1" x14ac:dyDescent="0.2"/>
    <row r="5515" spans="1:21" ht="11.85" customHeight="1" x14ac:dyDescent="0.2"/>
    <row r="5516" spans="1:21" ht="11.85" customHeight="1" x14ac:dyDescent="0.2"/>
    <row r="5517" spans="1:21" ht="11.85" customHeight="1" x14ac:dyDescent="0.2"/>
    <row r="5518" spans="1:21" ht="11.85" customHeight="1" x14ac:dyDescent="0.2"/>
    <row r="5519" spans="1:21" ht="11.85" customHeight="1" x14ac:dyDescent="0.2"/>
    <row r="5520" spans="1:21" ht="11.85" customHeight="1" x14ac:dyDescent="0.2"/>
    <row r="5521" ht="11.85" customHeight="1" x14ac:dyDescent="0.2"/>
    <row r="5522" ht="11.85" customHeight="1" x14ac:dyDescent="0.2"/>
    <row r="5523" ht="11.85" customHeight="1" x14ac:dyDescent="0.2"/>
    <row r="5524" ht="11.85" customHeight="1" x14ac:dyDescent="0.2"/>
    <row r="5525" ht="11.85" customHeight="1" x14ac:dyDescent="0.2"/>
    <row r="5526" ht="11.85" customHeight="1" x14ac:dyDescent="0.2"/>
    <row r="5527" ht="11.85" customHeight="1" x14ac:dyDescent="0.2"/>
    <row r="5528" ht="11.85" customHeight="1" x14ac:dyDescent="0.2"/>
    <row r="5529" ht="11.85" customHeight="1" x14ac:dyDescent="0.2"/>
    <row r="5530" ht="11.85" customHeight="1" x14ac:dyDescent="0.2"/>
    <row r="5531" ht="11.85" customHeight="1" x14ac:dyDescent="0.2"/>
    <row r="5532" ht="11.85" customHeight="1" x14ac:dyDescent="0.2"/>
    <row r="5533" ht="11.85" customHeight="1" x14ac:dyDescent="0.2"/>
    <row r="5534" ht="11.85" customHeight="1" x14ac:dyDescent="0.2"/>
    <row r="5535" ht="11.85" customHeight="1" x14ac:dyDescent="0.2"/>
    <row r="5536" ht="11.85" customHeight="1" x14ac:dyDescent="0.2"/>
    <row r="5537" ht="11.85" customHeight="1" x14ac:dyDescent="0.2"/>
    <row r="5538" ht="11.85" customHeight="1" x14ac:dyDescent="0.2"/>
    <row r="5539" ht="11.85" customHeight="1" x14ac:dyDescent="0.2"/>
    <row r="5540" ht="11.85" customHeight="1" x14ac:dyDescent="0.2"/>
    <row r="5541" ht="11.85" customHeight="1" x14ac:dyDescent="0.2"/>
    <row r="5542" ht="11.85" customHeight="1" x14ac:dyDescent="0.2"/>
    <row r="5543" ht="11.85" customHeight="1" x14ac:dyDescent="0.2"/>
    <row r="5544" ht="11.85" customHeight="1" x14ac:dyDescent="0.2"/>
    <row r="5545" ht="11.85" customHeight="1" x14ac:dyDescent="0.2"/>
    <row r="5546" ht="11.85" customHeight="1" x14ac:dyDescent="0.2"/>
    <row r="5547" ht="11.85" customHeight="1" x14ac:dyDescent="0.2"/>
    <row r="5548" ht="11.85" customHeight="1" x14ac:dyDescent="0.2"/>
    <row r="5549" ht="11.85" customHeight="1" x14ac:dyDescent="0.2"/>
    <row r="5550" ht="11.85" customHeight="1" x14ac:dyDescent="0.2"/>
    <row r="5551" ht="11.85" customHeight="1" x14ac:dyDescent="0.2"/>
    <row r="5552" ht="11.85" customHeight="1" x14ac:dyDescent="0.2"/>
    <row r="5553" spans="1:17" ht="11.25" customHeight="1" x14ac:dyDescent="0.2">
      <c r="A5553" s="1"/>
      <c r="B5553" s="1"/>
      <c r="E5553" s="2" t="str">
        <f>$E$1</f>
        <v>CITY OF BRADY</v>
      </c>
    </row>
    <row r="5554" spans="1:17" ht="11.25" customHeight="1" x14ac:dyDescent="0.2">
      <c r="E5554" s="2" t="str">
        <f>$E$2</f>
        <v>BUDGET REPORT</v>
      </c>
    </row>
    <row r="5555" spans="1:17" ht="11.25" customHeight="1" x14ac:dyDescent="0.2">
      <c r="E5555" s="2" t="str">
        <f>$E$3</f>
        <v>FISCAL YEAR 2024 - 2025</v>
      </c>
    </row>
    <row r="5556" spans="1:17" ht="11.25" customHeight="1" x14ac:dyDescent="0.2">
      <c r="A5556" s="3" t="s">
        <v>2120</v>
      </c>
    </row>
    <row r="5557" spans="1:17" ht="11.25" customHeight="1" x14ac:dyDescent="0.2"/>
    <row r="5558" spans="1:17" ht="11.25" customHeight="1" x14ac:dyDescent="0.2">
      <c r="I5558" s="53" t="str">
        <f>$I$6</f>
        <v>(----- 2023-2024------)</v>
      </c>
      <c r="J5558" s="53"/>
      <c r="K5558" s="53"/>
      <c r="L5558" s="6"/>
      <c r="M5558" s="54" t="str">
        <f>$M$6</f>
        <v>2024-2025</v>
      </c>
      <c r="N5558" s="54"/>
      <c r="O5558" s="54"/>
      <c r="P5558" s="54"/>
      <c r="Q5558" s="54"/>
    </row>
    <row r="5559" spans="1:17" ht="11.25" customHeight="1" x14ac:dyDescent="0.2">
      <c r="C5559" s="5" t="str">
        <f>$C$7</f>
        <v>2020-2021</v>
      </c>
      <c r="D5559" s="5"/>
      <c r="E5559" s="5" t="str">
        <f>$E$7</f>
        <v>2021-2022</v>
      </c>
      <c r="F5559" s="5"/>
      <c r="G5559" s="5" t="str">
        <f>$G$7</f>
        <v>2022-2023</v>
      </c>
      <c r="H5559" s="5"/>
      <c r="I5559" s="5" t="s">
        <v>9</v>
      </c>
      <c r="J5559" s="5"/>
      <c r="K5559" s="5" t="str">
        <f>+$K$7</f>
        <v>PROJECTED</v>
      </c>
      <c r="L5559" s="6"/>
      <c r="M5559" s="5">
        <f>$M$7</f>
        <v>0</v>
      </c>
      <c r="N5559" s="6"/>
      <c r="O5559" s="5" t="str">
        <f>$O$7</f>
        <v>2024-2025</v>
      </c>
      <c r="P5559" s="6"/>
      <c r="Q5559" s="5" t="str">
        <f>$Q$7</f>
        <v>APPROVED</v>
      </c>
    </row>
    <row r="5560" spans="1:17" ht="11.25" customHeight="1" x14ac:dyDescent="0.2">
      <c r="A5560" s="7"/>
      <c r="C5560" s="8" t="s">
        <v>12</v>
      </c>
      <c r="D5560" s="5"/>
      <c r="E5560" s="8" t="s">
        <v>12</v>
      </c>
      <c r="F5560" s="5"/>
      <c r="G5560" s="8" t="s">
        <v>12</v>
      </c>
      <c r="H5560" s="5"/>
      <c r="I5560" s="8" t="s">
        <v>13</v>
      </c>
      <c r="J5560" s="5"/>
      <c r="K5560" s="8" t="s">
        <v>13</v>
      </c>
      <c r="L5560" s="6"/>
      <c r="M5560" s="8" t="str">
        <f>$M$8</f>
        <v>BASE</v>
      </c>
      <c r="N5560" s="6"/>
      <c r="O5560" s="8" t="str">
        <f>$O$8</f>
        <v>SUPPLEMENTAL</v>
      </c>
      <c r="P5560" s="6"/>
      <c r="Q5560" s="8" t="str">
        <f>$Q$8</f>
        <v>BUDGET</v>
      </c>
    </row>
    <row r="5561" spans="1:17" ht="11.25" customHeight="1" x14ac:dyDescent="0.2"/>
    <row r="5562" spans="1:17" ht="11.25" customHeight="1" x14ac:dyDescent="0.2">
      <c r="A5562" s="3" t="s">
        <v>16</v>
      </c>
      <c r="L5562" s="9"/>
      <c r="N5562" s="9"/>
      <c r="P5562" s="9"/>
    </row>
    <row r="5563" spans="1:17" ht="11.25" customHeight="1" x14ac:dyDescent="0.2">
      <c r="A5563" s="3" t="s">
        <v>17</v>
      </c>
      <c r="C5563" s="2">
        <v>109992.25</v>
      </c>
      <c r="E5563" s="2">
        <f>+C5664</f>
        <v>96886.950000000012</v>
      </c>
      <c r="G5563" s="2">
        <f>+E5664</f>
        <v>101749.85</v>
      </c>
      <c r="I5563" s="2">
        <f>+G5664</f>
        <v>100199.77000000002</v>
      </c>
      <c r="K5563" s="2">
        <f>+I5563</f>
        <v>100199.77000000002</v>
      </c>
      <c r="L5563" s="9"/>
      <c r="M5563" s="9">
        <f>+K5664</f>
        <v>80470.770000000019</v>
      </c>
      <c r="N5563" s="9"/>
      <c r="P5563" s="9"/>
      <c r="Q5563" s="2">
        <f>+M5563</f>
        <v>80470.770000000019</v>
      </c>
    </row>
    <row r="5564" spans="1:17" ht="11.25" customHeight="1" x14ac:dyDescent="0.2">
      <c r="L5564" s="9"/>
      <c r="N5564" s="9"/>
      <c r="P5564" s="9"/>
    </row>
    <row r="5565" spans="1:17" ht="11.25" customHeight="1" x14ac:dyDescent="0.2">
      <c r="A5565" s="10" t="s">
        <v>18</v>
      </c>
      <c r="L5565" s="9"/>
      <c r="N5565" s="9"/>
      <c r="P5565" s="9"/>
    </row>
    <row r="5566" spans="1:17" ht="11.25" customHeight="1" x14ac:dyDescent="0.2">
      <c r="L5566" s="9"/>
      <c r="N5566" s="9"/>
      <c r="P5566" s="9"/>
    </row>
    <row r="5567" spans="1:17" ht="11.25" customHeight="1" x14ac:dyDescent="0.2">
      <c r="A5567" s="10" t="s">
        <v>1912</v>
      </c>
      <c r="L5567" s="9"/>
      <c r="N5567" s="9"/>
      <c r="P5567" s="9"/>
    </row>
    <row r="5568" spans="1:17" ht="11.25" customHeight="1" x14ac:dyDescent="0.2">
      <c r="A5568" s="3" t="s">
        <v>2121</v>
      </c>
      <c r="C5568" s="2">
        <v>43319.55</v>
      </c>
      <c r="E5568" s="2">
        <v>47321.95</v>
      </c>
      <c r="G5568" s="2">
        <v>51088.66</v>
      </c>
      <c r="I5568" s="2">
        <v>47000</v>
      </c>
      <c r="K5568" s="2">
        <v>47000</v>
      </c>
      <c r="L5568" s="9"/>
      <c r="M5568" s="2">
        <v>52000</v>
      </c>
      <c r="N5568" s="9"/>
      <c r="O5568" s="2">
        <v>0</v>
      </c>
      <c r="P5568" s="9"/>
      <c r="Q5568" s="2">
        <f>M5568+O5568</f>
        <v>52000</v>
      </c>
    </row>
    <row r="5569" spans="1:17" ht="11.25" customHeight="1" x14ac:dyDescent="0.2">
      <c r="A5569" s="3" t="s">
        <v>2122</v>
      </c>
      <c r="C5569" s="2">
        <v>1443.83</v>
      </c>
      <c r="E5569" s="2">
        <v>775.91</v>
      </c>
      <c r="G5569" s="2">
        <v>895.21</v>
      </c>
      <c r="I5569" s="2">
        <v>700</v>
      </c>
      <c r="K5569" s="2">
        <v>700</v>
      </c>
      <c r="L5569" s="9"/>
      <c r="M5569" s="2">
        <v>700</v>
      </c>
      <c r="N5569" s="9"/>
      <c r="O5569" s="2">
        <v>0</v>
      </c>
      <c r="P5569" s="9"/>
      <c r="Q5569" s="2">
        <f>M5569+O5569</f>
        <v>700</v>
      </c>
    </row>
    <row r="5570" spans="1:17" ht="11.25" customHeight="1" x14ac:dyDescent="0.2">
      <c r="A5570" s="3" t="s">
        <v>2123</v>
      </c>
      <c r="C5570" s="2">
        <v>1002.56</v>
      </c>
      <c r="E5570" s="2">
        <v>839.54</v>
      </c>
      <c r="G5570" s="2">
        <v>985.2</v>
      </c>
      <c r="I5570" s="2">
        <v>1000</v>
      </c>
      <c r="K5570" s="2">
        <v>1000</v>
      </c>
      <c r="L5570" s="9"/>
      <c r="M5570" s="2">
        <v>700</v>
      </c>
      <c r="N5570" s="9"/>
      <c r="O5570" s="2">
        <v>0</v>
      </c>
      <c r="P5570" s="9"/>
      <c r="Q5570" s="2">
        <f>M5570+O5570</f>
        <v>700</v>
      </c>
    </row>
    <row r="5571" spans="1:17" ht="11.25" customHeight="1" x14ac:dyDescent="0.2">
      <c r="A5571" s="3" t="s">
        <v>2124</v>
      </c>
      <c r="C5571" s="12">
        <v>309</v>
      </c>
      <c r="E5571" s="12">
        <v>387</v>
      </c>
      <c r="G5571" s="12">
        <v>151</v>
      </c>
      <c r="I5571" s="12">
        <v>100</v>
      </c>
      <c r="K5571" s="12">
        <v>100</v>
      </c>
      <c r="L5571" s="9"/>
      <c r="M5571" s="12">
        <v>100</v>
      </c>
      <c r="N5571" s="9"/>
      <c r="O5571" s="12">
        <v>0</v>
      </c>
      <c r="P5571" s="9"/>
      <c r="Q5571" s="12">
        <f>M5571+O5571</f>
        <v>100</v>
      </c>
    </row>
    <row r="5572" spans="1:17" ht="11.25" customHeight="1" x14ac:dyDescent="0.2">
      <c r="A5572" s="3" t="s">
        <v>1174</v>
      </c>
      <c r="C5572" s="2">
        <f>SUM(C5568:C5571)</f>
        <v>46074.94</v>
      </c>
      <c r="E5572" s="2">
        <f>SUM(E5568:E5571)</f>
        <v>49324.4</v>
      </c>
      <c r="G5572" s="2">
        <f>SUM(G5568:G5571)</f>
        <v>53120.07</v>
      </c>
      <c r="I5572" s="2">
        <f>SUM(I5568:I5571)</f>
        <v>48800</v>
      </c>
      <c r="K5572" s="2">
        <f>SUM(K5568:K5571)</f>
        <v>48800</v>
      </c>
      <c r="L5572" s="9"/>
      <c r="M5572" s="2">
        <f>SUM(M5568:M5571)</f>
        <v>53500</v>
      </c>
      <c r="N5572" s="9"/>
      <c r="O5572" s="2">
        <f>SUM(O5568:O5571)</f>
        <v>0</v>
      </c>
      <c r="P5572" s="9"/>
      <c r="Q5572" s="2">
        <f>SUM(Q5568:Q5571)</f>
        <v>53500</v>
      </c>
    </row>
    <row r="5573" spans="1:17" ht="11.25" customHeight="1" x14ac:dyDescent="0.2">
      <c r="L5573" s="9"/>
      <c r="N5573" s="9"/>
      <c r="P5573" s="9"/>
    </row>
    <row r="5574" spans="1:17" ht="11.85" customHeight="1" x14ac:dyDescent="0.2">
      <c r="A5574" s="10" t="s">
        <v>2125</v>
      </c>
      <c r="L5574" s="9"/>
      <c r="N5574" s="9"/>
      <c r="P5574" s="9"/>
    </row>
    <row r="5575" spans="1:17" ht="11.85" customHeight="1" x14ac:dyDescent="0.2">
      <c r="A5575" s="3" t="s">
        <v>2126</v>
      </c>
      <c r="C5575" s="12">
        <v>0</v>
      </c>
      <c r="E5575" s="12">
        <v>760</v>
      </c>
      <c r="G5575" s="12">
        <v>0</v>
      </c>
      <c r="I5575" s="12">
        <v>0</v>
      </c>
      <c r="K5575" s="12">
        <v>0</v>
      </c>
      <c r="L5575" s="9"/>
      <c r="M5575" s="12">
        <v>0</v>
      </c>
      <c r="N5575" s="9"/>
      <c r="O5575" s="12">
        <v>0</v>
      </c>
      <c r="P5575" s="9"/>
      <c r="Q5575" s="12">
        <f>+M5575+O5575</f>
        <v>0</v>
      </c>
    </row>
    <row r="5576" spans="1:17" ht="11.85" customHeight="1" x14ac:dyDescent="0.2">
      <c r="A5576" s="3" t="s">
        <v>2127</v>
      </c>
      <c r="C5576" s="2">
        <f>SUM(C5575:C5575)</f>
        <v>0</v>
      </c>
      <c r="E5576" s="2">
        <f>SUM(E5575:E5575)</f>
        <v>760</v>
      </c>
      <c r="G5576" s="2">
        <f>SUM(G5575:G5575)</f>
        <v>0</v>
      </c>
      <c r="I5576" s="2">
        <f>SUM(I5575:I5575)</f>
        <v>0</v>
      </c>
      <c r="K5576" s="2">
        <f>SUM(K5575:K5575)</f>
        <v>0</v>
      </c>
      <c r="L5576" s="9"/>
      <c r="M5576" s="2">
        <f>SUM(M5575:M5575)</f>
        <v>0</v>
      </c>
      <c r="N5576" s="9"/>
      <c r="O5576" s="2">
        <f>SUM(O5575:O5575)</f>
        <v>0</v>
      </c>
      <c r="P5576" s="9"/>
      <c r="Q5576" s="2">
        <f>SUM(Q5575:Q5575)</f>
        <v>0</v>
      </c>
    </row>
    <row r="5577" spans="1:17" ht="11.25" customHeight="1" x14ac:dyDescent="0.2">
      <c r="L5577" s="9"/>
      <c r="N5577" s="9"/>
      <c r="P5577" s="9"/>
    </row>
    <row r="5578" spans="1:17" ht="11.85" customHeight="1" x14ac:dyDescent="0.2">
      <c r="A5578" s="10" t="s">
        <v>244</v>
      </c>
      <c r="L5578" s="9"/>
      <c r="N5578" s="9"/>
      <c r="P5578" s="9"/>
    </row>
    <row r="5579" spans="1:17" ht="11.85" customHeight="1" x14ac:dyDescent="0.2">
      <c r="A5579" s="3" t="s">
        <v>2128</v>
      </c>
      <c r="C5579" s="12">
        <v>0</v>
      </c>
      <c r="E5579" s="12">
        <v>0</v>
      </c>
      <c r="G5579" s="12">
        <v>0</v>
      </c>
      <c r="I5579" s="12">
        <v>0</v>
      </c>
      <c r="K5579" s="12">
        <v>0</v>
      </c>
      <c r="L5579" s="9"/>
      <c r="M5579" s="12">
        <v>0</v>
      </c>
      <c r="N5579" s="9"/>
      <c r="O5579" s="12">
        <v>0</v>
      </c>
      <c r="P5579" s="9"/>
      <c r="Q5579" s="12">
        <f>+M5579+O5579</f>
        <v>0</v>
      </c>
    </row>
    <row r="5580" spans="1:17" ht="11.85" customHeight="1" x14ac:dyDescent="0.2">
      <c r="A5580" s="3" t="s">
        <v>258</v>
      </c>
      <c r="C5580" s="2">
        <f>SUM(C5579:C5579)</f>
        <v>0</v>
      </c>
      <c r="E5580" s="2">
        <f>SUM(E5579:E5579)</f>
        <v>0</v>
      </c>
      <c r="G5580" s="2">
        <f>SUM(G5579:G5579)</f>
        <v>0</v>
      </c>
      <c r="I5580" s="2">
        <f>SUM(I5579:I5579)</f>
        <v>0</v>
      </c>
      <c r="K5580" s="2">
        <f>SUM(K5579:K5579)</f>
        <v>0</v>
      </c>
      <c r="L5580" s="9"/>
      <c r="M5580" s="2">
        <f>SUM(M5579:M5579)</f>
        <v>0</v>
      </c>
      <c r="N5580" s="9"/>
      <c r="O5580" s="2">
        <f>SUM(O5579:O5579)</f>
        <v>0</v>
      </c>
      <c r="P5580" s="9"/>
      <c r="Q5580" s="2">
        <f>SUM(Q5579:Q5579)</f>
        <v>0</v>
      </c>
    </row>
    <row r="5581" spans="1:17" ht="11.85" customHeight="1" x14ac:dyDescent="0.2"/>
    <row r="5582" spans="1:17" ht="11.25" customHeight="1" thickBot="1" x14ac:dyDescent="0.25">
      <c r="A5582" s="3" t="s">
        <v>270</v>
      </c>
      <c r="C5582" s="25">
        <f>C5572+C5580+C5576</f>
        <v>46074.94</v>
      </c>
      <c r="E5582" s="25">
        <f>E5572+E5580+E5576</f>
        <v>50084.4</v>
      </c>
      <c r="G5582" s="25">
        <f>G5572+G5580+G5576</f>
        <v>53120.07</v>
      </c>
      <c r="I5582" s="25">
        <f>I5572+I5580+I5576</f>
        <v>48800</v>
      </c>
      <c r="K5582" s="25">
        <f>K5572+K5580+K5576</f>
        <v>48800</v>
      </c>
      <c r="L5582" s="9"/>
      <c r="M5582" s="25">
        <f>M5572+M5580</f>
        <v>53500</v>
      </c>
      <c r="N5582" s="9"/>
      <c r="O5582" s="25">
        <f>O5572+O5580+O5575</f>
        <v>0</v>
      </c>
      <c r="P5582" s="9"/>
      <c r="Q5582" s="25">
        <f>Q5572+Q5580+Q5576</f>
        <v>53500</v>
      </c>
    </row>
    <row r="5583" spans="1:17" ht="11.25" customHeight="1" thickTop="1" x14ac:dyDescent="0.2">
      <c r="L5583" s="9"/>
      <c r="N5583" s="9"/>
      <c r="P5583" s="9"/>
    </row>
    <row r="5584" spans="1:17" ht="11.25" customHeight="1" x14ac:dyDescent="0.2">
      <c r="L5584" s="9"/>
      <c r="N5584" s="9"/>
      <c r="P5584" s="9"/>
    </row>
    <row r="5585" spans="1:17" ht="11.25" customHeight="1" x14ac:dyDescent="0.2">
      <c r="A5585" s="3" t="s">
        <v>271</v>
      </c>
      <c r="C5585" s="2">
        <f>C5563+C5582</f>
        <v>156067.19</v>
      </c>
      <c r="E5585" s="2">
        <f>E5563+E5582</f>
        <v>146971.35</v>
      </c>
      <c r="G5585" s="2">
        <f>G5563+G5582</f>
        <v>154869.92000000001</v>
      </c>
      <c r="I5585" s="2">
        <f>I5563+I5582</f>
        <v>148999.77000000002</v>
      </c>
      <c r="K5585" s="2">
        <f>K5563+K5582</f>
        <v>148999.77000000002</v>
      </c>
      <c r="L5585" s="9"/>
      <c r="M5585" s="2">
        <f>M5563+M5582</f>
        <v>133970.77000000002</v>
      </c>
      <c r="N5585" s="9"/>
      <c r="P5585" s="9"/>
      <c r="Q5585" s="2">
        <f>Q5563+Q5582</f>
        <v>133970.77000000002</v>
      </c>
    </row>
    <row r="5586" spans="1:17" ht="11.25" customHeight="1" x14ac:dyDescent="0.2"/>
    <row r="5587" spans="1:17" ht="11.85" customHeight="1" x14ac:dyDescent="0.2">
      <c r="E5587" s="18"/>
    </row>
    <row r="5588" spans="1:17" ht="11.85" customHeight="1" x14ac:dyDescent="0.2"/>
    <row r="5589" spans="1:17" ht="11.85" customHeight="1" x14ac:dyDescent="0.2"/>
    <row r="5590" spans="1:17" ht="11.85" customHeight="1" x14ac:dyDescent="0.2"/>
    <row r="5591" spans="1:17" ht="11.85" customHeight="1" x14ac:dyDescent="0.2"/>
    <row r="5592" spans="1:17" ht="11.85" customHeight="1" x14ac:dyDescent="0.2"/>
    <row r="5593" spans="1:17" ht="11.85" customHeight="1" x14ac:dyDescent="0.2"/>
    <row r="5594" spans="1:17" ht="11.85" customHeight="1" x14ac:dyDescent="0.2"/>
    <row r="5595" spans="1:17" ht="11.85" customHeight="1" x14ac:dyDescent="0.2"/>
    <row r="5596" spans="1:17" ht="11.85" customHeight="1" x14ac:dyDescent="0.2"/>
    <row r="5597" spans="1:17" ht="11.85" customHeight="1" x14ac:dyDescent="0.2"/>
    <row r="5598" spans="1:17" ht="11.85" customHeight="1" x14ac:dyDescent="0.2"/>
    <row r="5599" spans="1:17" ht="11.85" customHeight="1" x14ac:dyDescent="0.2"/>
    <row r="5600" spans="1:17" ht="11.85" customHeight="1" x14ac:dyDescent="0.2"/>
    <row r="5601" spans="1:20" ht="11.85" customHeight="1" x14ac:dyDescent="0.2"/>
    <row r="5602" spans="1:20" ht="11.85" customHeight="1" x14ac:dyDescent="0.2"/>
    <row r="5603" spans="1:20" ht="11.85" customHeight="1" x14ac:dyDescent="0.2">
      <c r="A5603" s="1"/>
      <c r="B5603" s="1"/>
      <c r="E5603" s="2" t="str">
        <f>$E$1</f>
        <v>CITY OF BRADY</v>
      </c>
    </row>
    <row r="5604" spans="1:20" ht="11.85" customHeight="1" x14ac:dyDescent="0.2">
      <c r="E5604" s="2" t="str">
        <f>$E$2</f>
        <v>BUDGET REPORT</v>
      </c>
    </row>
    <row r="5605" spans="1:20" ht="11.85" customHeight="1" x14ac:dyDescent="0.2">
      <c r="E5605" s="2" t="str">
        <f>$E$3</f>
        <v>FISCAL YEAR 2024 - 2025</v>
      </c>
    </row>
    <row r="5606" spans="1:20" ht="11.85" customHeight="1" x14ac:dyDescent="0.2">
      <c r="A5606" s="3" t="s">
        <v>2129</v>
      </c>
    </row>
    <row r="5607" spans="1:20" ht="11.85" customHeight="1" x14ac:dyDescent="0.2">
      <c r="A5607" s="3" t="s">
        <v>2130</v>
      </c>
    </row>
    <row r="5608" spans="1:20" ht="11.85" customHeight="1" x14ac:dyDescent="0.2">
      <c r="I5608" s="53" t="str">
        <f>$I$6</f>
        <v>(----- 2023-2024------)</v>
      </c>
      <c r="J5608" s="53"/>
      <c r="K5608" s="53"/>
      <c r="L5608" s="6"/>
      <c r="M5608" s="54" t="str">
        <f>$M$6</f>
        <v>2024-2025</v>
      </c>
      <c r="N5608" s="54"/>
      <c r="O5608" s="54"/>
      <c r="P5608" s="54"/>
      <c r="Q5608" s="54"/>
    </row>
    <row r="5609" spans="1:20" ht="11.85" customHeight="1" x14ac:dyDescent="0.2">
      <c r="C5609" s="5" t="str">
        <f>$C$7</f>
        <v>2020-2021</v>
      </c>
      <c r="D5609" s="5"/>
      <c r="E5609" s="5" t="str">
        <f>$E$7</f>
        <v>2021-2022</v>
      </c>
      <c r="F5609" s="5"/>
      <c r="G5609" s="5" t="str">
        <f>$G$7</f>
        <v>2022-2023</v>
      </c>
      <c r="H5609" s="5"/>
      <c r="I5609" s="5" t="s">
        <v>9</v>
      </c>
      <c r="J5609" s="5"/>
      <c r="K5609" s="5" t="str">
        <f>+$K$7</f>
        <v>PROJECTED</v>
      </c>
      <c r="L5609" s="6"/>
      <c r="M5609" s="5">
        <f>$M$7</f>
        <v>0</v>
      </c>
      <c r="N5609" s="6"/>
      <c r="O5609" s="5" t="str">
        <f>$O$7</f>
        <v>2024-2025</v>
      </c>
      <c r="P5609" s="6"/>
      <c r="Q5609" s="5" t="str">
        <f>$Q$7</f>
        <v>APPROVED</v>
      </c>
    </row>
    <row r="5610" spans="1:20" ht="11.85" customHeight="1" x14ac:dyDescent="0.2">
      <c r="A5610" s="7" t="s">
        <v>273</v>
      </c>
      <c r="C5610" s="8" t="s">
        <v>12</v>
      </c>
      <c r="D5610" s="5"/>
      <c r="E5610" s="8" t="s">
        <v>12</v>
      </c>
      <c r="F5610" s="5"/>
      <c r="G5610" s="8" t="s">
        <v>12</v>
      </c>
      <c r="H5610" s="5"/>
      <c r="I5610" s="8" t="s">
        <v>13</v>
      </c>
      <c r="J5610" s="5"/>
      <c r="K5610" s="8" t="s">
        <v>13</v>
      </c>
      <c r="L5610" s="6"/>
      <c r="M5610" s="8" t="str">
        <f>$M$8</f>
        <v>BASE</v>
      </c>
      <c r="N5610" s="6"/>
      <c r="O5610" s="8" t="str">
        <f>$O$8</f>
        <v>SUPPLEMENTAL</v>
      </c>
      <c r="P5610" s="6"/>
      <c r="Q5610" s="8" t="str">
        <f>$Q$8</f>
        <v>BUDGET</v>
      </c>
    </row>
    <row r="5611" spans="1:20" ht="11.85" customHeight="1" x14ac:dyDescent="0.2"/>
    <row r="5612" spans="1:20" ht="11.85" customHeight="1" x14ac:dyDescent="0.2">
      <c r="A5612" s="10" t="s">
        <v>274</v>
      </c>
    </row>
    <row r="5613" spans="1:20" ht="11.85" customHeight="1" x14ac:dyDescent="0.2">
      <c r="A5613" s="3" t="s">
        <v>2131</v>
      </c>
      <c r="C5613" s="2">
        <v>23927.56</v>
      </c>
      <c r="E5613" s="2">
        <v>24847.14</v>
      </c>
      <c r="G5613" s="2">
        <v>32289.360000000001</v>
      </c>
      <c r="I5613" s="2">
        <v>33250</v>
      </c>
      <c r="K5613" s="2">
        <v>33250</v>
      </c>
      <c r="L5613" s="9"/>
      <c r="M5613" s="2">
        <v>27040</v>
      </c>
      <c r="N5613" s="9"/>
      <c r="O5613" s="2">
        <v>0</v>
      </c>
      <c r="P5613" s="9"/>
      <c r="Q5613" s="2">
        <f t="shared" ref="Q5613:Q5619" si="146">M5613+O5613</f>
        <v>27040</v>
      </c>
      <c r="T5613" s="11"/>
    </row>
    <row r="5614" spans="1:20" ht="11.85" customHeight="1" x14ac:dyDescent="0.2">
      <c r="A5614" s="3" t="s">
        <v>2132</v>
      </c>
      <c r="C5614" s="2">
        <v>791.03</v>
      </c>
      <c r="E5614" s="2">
        <v>501.49</v>
      </c>
      <c r="G5614" s="2">
        <v>46.56</v>
      </c>
      <c r="I5614" s="2">
        <v>1000</v>
      </c>
      <c r="K5614" s="2">
        <v>1000</v>
      </c>
      <c r="L5614" s="9"/>
      <c r="M5614" s="2">
        <v>500</v>
      </c>
      <c r="N5614" s="9"/>
      <c r="O5614" s="2">
        <v>0</v>
      </c>
      <c r="P5614" s="9"/>
      <c r="Q5614" s="2">
        <f t="shared" si="146"/>
        <v>500</v>
      </c>
      <c r="T5614" s="11"/>
    </row>
    <row r="5615" spans="1:20" ht="11.85" customHeight="1" x14ac:dyDescent="0.2">
      <c r="A5615" s="3" t="s">
        <v>2133</v>
      </c>
      <c r="C5615" s="2">
        <v>11841.84</v>
      </c>
      <c r="E5615" s="2">
        <v>10794.48</v>
      </c>
      <c r="G5615" s="2">
        <v>10938.49</v>
      </c>
      <c r="I5615" s="2">
        <v>11460</v>
      </c>
      <c r="K5615" s="2">
        <v>11460</v>
      </c>
      <c r="L5615" s="9"/>
      <c r="M5615" s="2">
        <v>10141</v>
      </c>
      <c r="N5615" s="9"/>
      <c r="O5615" s="2">
        <v>0</v>
      </c>
      <c r="P5615" s="9"/>
      <c r="Q5615" s="2">
        <f t="shared" si="146"/>
        <v>10141</v>
      </c>
      <c r="T5615" s="11"/>
    </row>
    <row r="5616" spans="1:20" ht="11.85" customHeight="1" x14ac:dyDescent="0.2">
      <c r="A5616" s="3" t="s">
        <v>2134</v>
      </c>
      <c r="C5616" s="2">
        <v>2460.0700000000002</v>
      </c>
      <c r="E5616" s="2">
        <v>2437.46</v>
      </c>
      <c r="G5616" s="2">
        <v>3141.17</v>
      </c>
      <c r="I5616" s="2">
        <v>3410</v>
      </c>
      <c r="K5616" s="2">
        <v>3410</v>
      </c>
      <c r="L5616" s="9"/>
      <c r="M5616" s="2">
        <v>2675</v>
      </c>
      <c r="N5616" s="9"/>
      <c r="O5616" s="2">
        <v>0</v>
      </c>
      <c r="P5616" s="9"/>
      <c r="Q5616" s="2">
        <f t="shared" si="146"/>
        <v>2675</v>
      </c>
      <c r="T5616" s="11"/>
    </row>
    <row r="5617" spans="1:22" ht="11.85" customHeight="1" x14ac:dyDescent="0.2">
      <c r="A5617" s="3" t="s">
        <v>2135</v>
      </c>
      <c r="C5617" s="2">
        <v>540.25</v>
      </c>
      <c r="E5617" s="2">
        <v>608.71</v>
      </c>
      <c r="G5617" s="2">
        <v>819.25</v>
      </c>
      <c r="I5617" s="2">
        <v>943</v>
      </c>
      <c r="K5617" s="2">
        <v>943</v>
      </c>
      <c r="L5617" s="9"/>
      <c r="M5617" s="2">
        <v>574</v>
      </c>
      <c r="N5617" s="9"/>
      <c r="O5617" s="2">
        <v>0</v>
      </c>
      <c r="P5617" s="9"/>
      <c r="Q5617" s="2">
        <f t="shared" si="146"/>
        <v>574</v>
      </c>
      <c r="T5617" s="11"/>
    </row>
    <row r="5618" spans="1:22" ht="11.85" customHeight="1" x14ac:dyDescent="0.2">
      <c r="A5618" s="3" t="s">
        <v>2136</v>
      </c>
      <c r="C5618" s="2">
        <v>252</v>
      </c>
      <c r="E5618" s="2">
        <v>9</v>
      </c>
      <c r="G5618" s="2">
        <v>9</v>
      </c>
      <c r="I5618" s="2">
        <v>84</v>
      </c>
      <c r="K5618" s="2">
        <v>84</v>
      </c>
      <c r="L5618" s="9"/>
      <c r="M5618" s="2">
        <v>90</v>
      </c>
      <c r="N5618" s="9"/>
      <c r="O5618" s="2">
        <v>0</v>
      </c>
      <c r="P5618" s="9"/>
      <c r="Q5618" s="2">
        <f t="shared" si="146"/>
        <v>90</v>
      </c>
      <c r="T5618" s="11"/>
    </row>
    <row r="5619" spans="1:22" ht="11.85" customHeight="1" x14ac:dyDescent="0.2">
      <c r="A5619" s="3" t="s">
        <v>2137</v>
      </c>
      <c r="C5619" s="12">
        <v>1820.04</v>
      </c>
      <c r="E5619" s="12">
        <v>2010.05</v>
      </c>
      <c r="G5619" s="12">
        <v>2473.64</v>
      </c>
      <c r="I5619" s="12">
        <v>2672</v>
      </c>
      <c r="K5619" s="12">
        <v>2672</v>
      </c>
      <c r="L5619" s="9"/>
      <c r="M5619" s="12">
        <v>2148</v>
      </c>
      <c r="N5619" s="9"/>
      <c r="O5619" s="12">
        <v>0</v>
      </c>
      <c r="P5619" s="9"/>
      <c r="Q5619" s="12">
        <f t="shared" si="146"/>
        <v>2148</v>
      </c>
      <c r="T5619" s="11"/>
    </row>
    <row r="5620" spans="1:22" ht="11.85" customHeight="1" x14ac:dyDescent="0.2">
      <c r="A5620" s="3" t="s">
        <v>285</v>
      </c>
      <c r="C5620" s="2">
        <f>SUM(C5613:C5619)</f>
        <v>41632.79</v>
      </c>
      <c r="E5620" s="2">
        <f>SUM(E5613:E5619)</f>
        <v>41208.33</v>
      </c>
      <c r="G5620" s="2">
        <f>SUM(G5613:G5619)</f>
        <v>49717.47</v>
      </c>
      <c r="I5620" s="2">
        <f>SUM(I5613:I5619)</f>
        <v>52819</v>
      </c>
      <c r="K5620" s="2">
        <f>SUM(K5613:K5619)</f>
        <v>52819</v>
      </c>
      <c r="L5620" s="9"/>
      <c r="M5620" s="2">
        <f>SUM(M5613:M5619)</f>
        <v>43168</v>
      </c>
      <c r="N5620" s="9"/>
      <c r="O5620" s="2">
        <f>SUM(O5613:O5619)</f>
        <v>0</v>
      </c>
      <c r="P5620" s="9"/>
      <c r="Q5620" s="2">
        <f>SUM(Q5613:Q5619)</f>
        <v>43168</v>
      </c>
      <c r="R5620" s="9"/>
      <c r="T5620" s="14"/>
      <c r="U5620" s="9"/>
    </row>
    <row r="5621" spans="1:22" ht="11.85" customHeight="1" x14ac:dyDescent="0.2"/>
    <row r="5622" spans="1:22" ht="11.85" customHeight="1" x14ac:dyDescent="0.2">
      <c r="A5622" s="10" t="s">
        <v>286</v>
      </c>
      <c r="L5622" s="9"/>
      <c r="N5622" s="9"/>
      <c r="P5622" s="9"/>
    </row>
    <row r="5623" spans="1:22" ht="11.85" customHeight="1" x14ac:dyDescent="0.2">
      <c r="A5623" s="3" t="s">
        <v>2138</v>
      </c>
      <c r="C5623" s="12">
        <v>0</v>
      </c>
      <c r="E5623" s="12">
        <v>0</v>
      </c>
      <c r="G5623" s="12">
        <v>0</v>
      </c>
      <c r="I5623" s="12">
        <v>0</v>
      </c>
      <c r="K5623" s="12">
        <v>0</v>
      </c>
      <c r="L5623" s="9"/>
      <c r="M5623" s="12">
        <v>0</v>
      </c>
      <c r="N5623" s="9"/>
      <c r="O5623" s="12">
        <v>0</v>
      </c>
      <c r="P5623" s="9"/>
      <c r="Q5623" s="12">
        <f>+M5623+O5623</f>
        <v>0</v>
      </c>
    </row>
    <row r="5624" spans="1:22" ht="11.85" customHeight="1" x14ac:dyDescent="0.2">
      <c r="A5624" s="3" t="s">
        <v>304</v>
      </c>
      <c r="C5624" s="2">
        <f>+C5623</f>
        <v>0</v>
      </c>
      <c r="E5624" s="2">
        <f>+E5623</f>
        <v>0</v>
      </c>
      <c r="G5624" s="2">
        <f>+G5623</f>
        <v>0</v>
      </c>
      <c r="I5624" s="2">
        <f>+I5623</f>
        <v>0</v>
      </c>
      <c r="K5624" s="2">
        <f>+K5623</f>
        <v>0</v>
      </c>
      <c r="L5624" s="9"/>
      <c r="M5624" s="2">
        <f>+M5623</f>
        <v>0</v>
      </c>
      <c r="N5624" s="9"/>
      <c r="O5624" s="2">
        <f>+O5623</f>
        <v>0</v>
      </c>
      <c r="P5624" s="9"/>
      <c r="Q5624" s="2">
        <f>+Q5623</f>
        <v>0</v>
      </c>
    </row>
    <row r="5625" spans="1:22" ht="11.85" customHeight="1" x14ac:dyDescent="0.2"/>
    <row r="5626" spans="1:22" ht="11.85" customHeight="1" x14ac:dyDescent="0.2">
      <c r="A5626" s="10" t="s">
        <v>305</v>
      </c>
      <c r="L5626" s="9"/>
      <c r="N5626" s="9"/>
      <c r="P5626" s="9"/>
    </row>
    <row r="5627" spans="1:22" ht="11.85" customHeight="1" x14ac:dyDescent="0.2">
      <c r="A5627" s="3" t="s">
        <v>2139</v>
      </c>
      <c r="C5627" s="2">
        <v>0</v>
      </c>
      <c r="E5627" s="2">
        <v>0</v>
      </c>
      <c r="G5627" s="2">
        <v>0</v>
      </c>
      <c r="I5627" s="2">
        <v>0</v>
      </c>
      <c r="K5627" s="2">
        <v>0</v>
      </c>
      <c r="L5627" s="9"/>
      <c r="M5627" s="2">
        <v>2000</v>
      </c>
      <c r="N5627" s="9"/>
      <c r="O5627" s="2">
        <v>0</v>
      </c>
      <c r="P5627" s="9"/>
      <c r="Q5627" s="2">
        <f>+M5627+O5627</f>
        <v>2000</v>
      </c>
    </row>
    <row r="5628" spans="1:22" ht="11.85" customHeight="1" x14ac:dyDescent="0.2">
      <c r="A5628" s="3" t="s">
        <v>2140</v>
      </c>
      <c r="C5628" s="2">
        <v>3150.02</v>
      </c>
      <c r="E5628" s="2">
        <v>3553.91</v>
      </c>
      <c r="G5628" s="2">
        <v>4701.3900000000003</v>
      </c>
      <c r="I5628" s="2">
        <v>15000</v>
      </c>
      <c r="K5628" s="2">
        <v>15000</v>
      </c>
      <c r="L5628" s="9"/>
      <c r="M5628" s="2">
        <v>13000</v>
      </c>
      <c r="N5628" s="9"/>
      <c r="O5628" s="2">
        <v>0</v>
      </c>
      <c r="P5628" s="9"/>
      <c r="Q5628" s="2">
        <f>+M5628+O5628</f>
        <v>13000</v>
      </c>
    </row>
    <row r="5629" spans="1:22" ht="11.85" customHeight="1" x14ac:dyDescent="0.2">
      <c r="A5629" s="3" t="s">
        <v>2141</v>
      </c>
      <c r="C5629" s="2">
        <v>0</v>
      </c>
      <c r="E5629" s="2">
        <v>0</v>
      </c>
      <c r="G5629" s="2">
        <v>0</v>
      </c>
      <c r="I5629" s="2">
        <v>110</v>
      </c>
      <c r="K5629" s="2">
        <v>110</v>
      </c>
      <c r="L5629" s="9"/>
      <c r="M5629" s="2">
        <v>110</v>
      </c>
      <c r="N5629" s="9"/>
      <c r="O5629" s="2">
        <v>0</v>
      </c>
      <c r="P5629" s="9"/>
      <c r="Q5629" s="2">
        <f>+M5629+O5629</f>
        <v>110</v>
      </c>
    </row>
    <row r="5630" spans="1:22" ht="11.85" customHeight="1" x14ac:dyDescent="0.2">
      <c r="A5630" s="3" t="s">
        <v>2142</v>
      </c>
      <c r="C5630" s="12">
        <v>379.75</v>
      </c>
      <c r="E5630" s="12">
        <v>459.26</v>
      </c>
      <c r="G5630" s="12">
        <v>251.29</v>
      </c>
      <c r="I5630" s="12">
        <v>600</v>
      </c>
      <c r="K5630" s="12">
        <v>600</v>
      </c>
      <c r="L5630" s="9"/>
      <c r="M5630" s="12">
        <v>600</v>
      </c>
      <c r="N5630" s="9"/>
      <c r="O5630" s="12">
        <v>0</v>
      </c>
      <c r="P5630" s="9"/>
      <c r="Q5630" s="12">
        <f>+M5630+O5630</f>
        <v>600</v>
      </c>
    </row>
    <row r="5631" spans="1:22" ht="11.85" hidden="1" customHeight="1" x14ac:dyDescent="0.2">
      <c r="A5631" s="3" t="s">
        <v>2140</v>
      </c>
      <c r="C5631" s="12">
        <v>0</v>
      </c>
      <c r="E5631" s="12">
        <v>0</v>
      </c>
      <c r="G5631" s="12">
        <v>0</v>
      </c>
      <c r="I5631" s="12">
        <v>0</v>
      </c>
      <c r="K5631" s="12">
        <v>0</v>
      </c>
      <c r="L5631" s="9"/>
      <c r="M5631" s="12">
        <v>0</v>
      </c>
      <c r="N5631" s="9"/>
      <c r="O5631" s="12">
        <v>0</v>
      </c>
      <c r="P5631" s="9"/>
      <c r="Q5631" s="12">
        <f>M5631+O5631</f>
        <v>0</v>
      </c>
      <c r="T5631" s="11"/>
      <c r="V5631" s="27"/>
    </row>
    <row r="5632" spans="1:22" ht="11.85" customHeight="1" x14ac:dyDescent="0.2">
      <c r="A5632" s="3" t="s">
        <v>328</v>
      </c>
      <c r="C5632" s="2">
        <f>SUM(C5627:C5631)</f>
        <v>3529.77</v>
      </c>
      <c r="E5632" s="2">
        <f>SUM(E5627:E5631)</f>
        <v>4013.17</v>
      </c>
      <c r="G5632" s="2">
        <f>SUM(G5627:G5631)</f>
        <v>4952.68</v>
      </c>
      <c r="I5632" s="2">
        <f>SUM(I5627:I5631)</f>
        <v>15710</v>
      </c>
      <c r="K5632" s="2">
        <f>SUM(K5627:K5631)</f>
        <v>15710</v>
      </c>
      <c r="L5632" s="9"/>
      <c r="M5632" s="2">
        <f>SUM(M5627:M5631)</f>
        <v>15710</v>
      </c>
      <c r="N5632" s="9"/>
      <c r="O5632" s="2">
        <f>SUM(O5627:O5631)</f>
        <v>0</v>
      </c>
      <c r="P5632" s="9"/>
      <c r="Q5632" s="2">
        <f>SUM(Q5627:Q5631)</f>
        <v>15710</v>
      </c>
      <c r="T5632" s="14"/>
    </row>
    <row r="5633" spans="1:22" ht="11.85" customHeight="1" x14ac:dyDescent="0.2">
      <c r="L5633" s="9"/>
      <c r="N5633" s="9"/>
      <c r="P5633" s="9"/>
    </row>
    <row r="5634" spans="1:22" ht="11.85" customHeight="1" x14ac:dyDescent="0.2">
      <c r="A5634" s="3" t="s">
        <v>2143</v>
      </c>
      <c r="C5634" s="2">
        <v>0</v>
      </c>
      <c r="E5634" s="2">
        <v>0</v>
      </c>
      <c r="G5634" s="2">
        <v>0</v>
      </c>
      <c r="I5634" s="2">
        <v>0</v>
      </c>
      <c r="K5634" s="2">
        <v>0</v>
      </c>
      <c r="L5634" s="9"/>
      <c r="M5634" s="2">
        <v>0</v>
      </c>
      <c r="N5634" s="9"/>
      <c r="O5634" s="2">
        <v>0</v>
      </c>
      <c r="P5634" s="9"/>
      <c r="Q5634" s="2">
        <f>M5634+O5634</f>
        <v>0</v>
      </c>
      <c r="T5634" s="11"/>
    </row>
    <row r="5635" spans="1:22" ht="11.85" customHeight="1" x14ac:dyDescent="0.2">
      <c r="A5635" s="3" t="s">
        <v>2144</v>
      </c>
      <c r="C5635" s="12">
        <v>14017.68</v>
      </c>
      <c r="E5635" s="12">
        <v>0</v>
      </c>
      <c r="G5635" s="12">
        <v>0</v>
      </c>
      <c r="I5635" s="12">
        <v>0</v>
      </c>
      <c r="K5635" s="12">
        <v>0</v>
      </c>
      <c r="L5635" s="9"/>
      <c r="M5635" s="12">
        <v>0</v>
      </c>
      <c r="N5635" s="9"/>
      <c r="O5635" s="12">
        <v>0</v>
      </c>
      <c r="P5635" s="9"/>
      <c r="Q5635" s="12">
        <f>M5635+O5635</f>
        <v>0</v>
      </c>
      <c r="T5635" s="11"/>
    </row>
    <row r="5636" spans="1:22" ht="11.85" customHeight="1" x14ac:dyDescent="0.2">
      <c r="A5636" s="3" t="s">
        <v>331</v>
      </c>
      <c r="C5636" s="2">
        <f>SUM(C5634:C5635)</f>
        <v>14017.68</v>
      </c>
      <c r="E5636" s="2">
        <f>SUM(E5634:E5635)</f>
        <v>0</v>
      </c>
      <c r="G5636" s="2">
        <f>SUM(G5634:G5635)</f>
        <v>0</v>
      </c>
      <c r="I5636" s="2">
        <f>SUM(I5634:I5635)</f>
        <v>0</v>
      </c>
      <c r="K5636" s="2">
        <f>SUM(K5634:K5635)</f>
        <v>0</v>
      </c>
      <c r="L5636" s="9"/>
      <c r="M5636" s="2">
        <f>SUM(M5634:M5635)</f>
        <v>0</v>
      </c>
      <c r="N5636" s="9"/>
      <c r="O5636" s="2">
        <f>SUM(O5634:O5635)</f>
        <v>0</v>
      </c>
      <c r="P5636" s="9"/>
      <c r="Q5636" s="2">
        <f>SUM(Q5634:Q5635)</f>
        <v>0</v>
      </c>
      <c r="T5636" s="11"/>
    </row>
    <row r="5637" spans="1:22" ht="11.85" customHeight="1" x14ac:dyDescent="0.2">
      <c r="L5637" s="9"/>
      <c r="N5637" s="9"/>
      <c r="P5637" s="9"/>
    </row>
    <row r="5638" spans="1:22" ht="11.85" hidden="1" customHeight="1" x14ac:dyDescent="0.2">
      <c r="A5638" s="10" t="s">
        <v>332</v>
      </c>
      <c r="L5638" s="9"/>
      <c r="N5638" s="9"/>
      <c r="P5638" s="9"/>
    </row>
    <row r="5639" spans="1:22" ht="11.85" hidden="1" customHeight="1" x14ac:dyDescent="0.2">
      <c r="A5639" s="3" t="s">
        <v>1136</v>
      </c>
      <c r="C5639" s="12">
        <v>0</v>
      </c>
      <c r="E5639" s="12">
        <v>0</v>
      </c>
      <c r="G5639" s="12">
        <v>0</v>
      </c>
      <c r="I5639" s="12">
        <v>0</v>
      </c>
      <c r="K5639" s="12">
        <v>0</v>
      </c>
      <c r="L5639" s="9"/>
      <c r="M5639" s="12">
        <v>0</v>
      </c>
      <c r="N5639" s="9"/>
      <c r="O5639" s="12">
        <v>0</v>
      </c>
      <c r="P5639" s="9"/>
      <c r="Q5639" s="12">
        <f>M5639+O5639</f>
        <v>0</v>
      </c>
    </row>
    <row r="5640" spans="1:22" ht="11.85" hidden="1" customHeight="1" x14ac:dyDescent="0.2">
      <c r="A5640" s="3" t="s">
        <v>336</v>
      </c>
      <c r="C5640" s="2">
        <f>SUM(C5639:C5639)</f>
        <v>0</v>
      </c>
      <c r="E5640" s="2">
        <f>SUM(E5639:E5639)</f>
        <v>0</v>
      </c>
      <c r="G5640" s="2">
        <f>SUM(G5639:G5639)</f>
        <v>0</v>
      </c>
      <c r="I5640" s="2">
        <f>SUM(I5639:I5639)</f>
        <v>0</v>
      </c>
      <c r="K5640" s="2">
        <f>SUM(K5639:K5639)</f>
        <v>0</v>
      </c>
      <c r="L5640" s="9"/>
      <c r="M5640" s="2">
        <f>SUM(M5639:M5639)</f>
        <v>0</v>
      </c>
      <c r="N5640" s="9"/>
      <c r="O5640" s="2">
        <f>SUM(O5639:O5639)</f>
        <v>0</v>
      </c>
      <c r="P5640" s="9"/>
      <c r="Q5640" s="2">
        <f>SUM(Q5639:Q5639)</f>
        <v>0</v>
      </c>
      <c r="V5640" s="38"/>
    </row>
    <row r="5641" spans="1:22" ht="11.85" hidden="1" customHeight="1" x14ac:dyDescent="0.2">
      <c r="L5641" s="9"/>
      <c r="N5641" s="9"/>
      <c r="P5641" s="9"/>
      <c r="T5641" s="11"/>
    </row>
    <row r="5642" spans="1:22" ht="11.85" customHeight="1" x14ac:dyDescent="0.2">
      <c r="A5642" s="3" t="s">
        <v>2117</v>
      </c>
      <c r="C5642" s="2">
        <f>+C5632+C5640+C5620+C5636+C5624</f>
        <v>59180.24</v>
      </c>
      <c r="E5642" s="2">
        <f>+E5632+E5640+E5620+E5636+E5624</f>
        <v>45221.5</v>
      </c>
      <c r="G5642" s="2">
        <f>+G5632+G5640+G5620+G5636+G5624</f>
        <v>54670.15</v>
      </c>
      <c r="I5642" s="2">
        <f>+I5632+I5640+I5620+I5636+I5624</f>
        <v>68529</v>
      </c>
      <c r="K5642" s="2">
        <f>+K5632+K5640+K5620+K5636+K5624</f>
        <v>68529</v>
      </c>
      <c r="L5642" s="9"/>
      <c r="M5642" s="2">
        <f>+M5632+M5640+M5620+M5636+M5624</f>
        <v>58878</v>
      </c>
      <c r="N5642" s="9"/>
      <c r="O5642" s="2">
        <f>+O5632+O5640+O5620+O5636+O5624</f>
        <v>0</v>
      </c>
      <c r="P5642" s="9"/>
      <c r="Q5642" s="2">
        <f>+Q5632+Q5640+Q5620+Q5636+Q5624</f>
        <v>58878</v>
      </c>
      <c r="R5642" s="9"/>
      <c r="U5642" s="13"/>
    </row>
    <row r="5643" spans="1:22" ht="11.85" customHeight="1" x14ac:dyDescent="0.2">
      <c r="L5643" s="9"/>
      <c r="N5643" s="9"/>
      <c r="P5643" s="9"/>
      <c r="T5643" s="11"/>
    </row>
    <row r="5644" spans="1:22" ht="11.85" customHeight="1" x14ac:dyDescent="0.2">
      <c r="L5644" s="9"/>
      <c r="N5644" s="9"/>
      <c r="P5644" s="9"/>
    </row>
    <row r="5645" spans="1:22" ht="11.85" customHeight="1" x14ac:dyDescent="0.2">
      <c r="L5645" s="9"/>
      <c r="N5645" s="9"/>
      <c r="P5645" s="9"/>
    </row>
    <row r="5646" spans="1:22" ht="11.85" customHeight="1" x14ac:dyDescent="0.2">
      <c r="L5646" s="9"/>
      <c r="N5646" s="9"/>
      <c r="P5646" s="9"/>
    </row>
    <row r="5647" spans="1:22" ht="11.85" customHeight="1" x14ac:dyDescent="0.2">
      <c r="L5647" s="9"/>
      <c r="N5647" s="9"/>
      <c r="P5647" s="9"/>
    </row>
    <row r="5648" spans="1:22" ht="11.25" customHeight="1" x14ac:dyDescent="0.2">
      <c r="A5648" s="1"/>
      <c r="B5648" s="1"/>
      <c r="E5648" s="2" t="str">
        <f>$E$1</f>
        <v>CITY OF BRADY</v>
      </c>
    </row>
    <row r="5649" spans="1:20" ht="11.25" customHeight="1" x14ac:dyDescent="0.2">
      <c r="E5649" s="2" t="str">
        <f>$E$2</f>
        <v>BUDGET REPORT</v>
      </c>
    </row>
    <row r="5650" spans="1:20" ht="11.25" customHeight="1" x14ac:dyDescent="0.2">
      <c r="E5650" s="2" t="str">
        <f>$E$3</f>
        <v>FISCAL YEAR 2024 - 2025</v>
      </c>
    </row>
    <row r="5651" spans="1:20" ht="11.25" customHeight="1" x14ac:dyDescent="0.2">
      <c r="A5651" s="3" t="s">
        <v>2145</v>
      </c>
    </row>
    <row r="5652" spans="1:20" ht="11.25" customHeight="1" x14ac:dyDescent="0.2"/>
    <row r="5653" spans="1:20" ht="11.25" customHeight="1" x14ac:dyDescent="0.2">
      <c r="I5653" s="53" t="str">
        <f>$I$6</f>
        <v>(----- 2023-2024------)</v>
      </c>
      <c r="J5653" s="53"/>
      <c r="K5653" s="53"/>
      <c r="L5653" s="6"/>
      <c r="M5653" s="54" t="str">
        <f>$M$6</f>
        <v>2024-2025</v>
      </c>
      <c r="N5653" s="54"/>
      <c r="O5653" s="54"/>
      <c r="P5653" s="54"/>
      <c r="Q5653" s="54"/>
    </row>
    <row r="5654" spans="1:20" ht="11.25" customHeight="1" x14ac:dyDescent="0.2">
      <c r="C5654" s="5" t="str">
        <f>$C$7</f>
        <v>2020-2021</v>
      </c>
      <c r="D5654" s="5"/>
      <c r="E5654" s="5" t="str">
        <f>$E$7</f>
        <v>2021-2022</v>
      </c>
      <c r="F5654" s="5"/>
      <c r="G5654" s="5" t="str">
        <f>$G$7</f>
        <v>2022-2023</v>
      </c>
      <c r="H5654" s="5"/>
      <c r="I5654" s="5" t="s">
        <v>9</v>
      </c>
      <c r="J5654" s="5"/>
      <c r="K5654" s="5" t="str">
        <f>+$K$7</f>
        <v>PROJECTED</v>
      </c>
      <c r="L5654" s="6"/>
      <c r="M5654" s="5">
        <f>$M$7</f>
        <v>0</v>
      </c>
      <c r="N5654" s="6"/>
      <c r="O5654" s="5" t="str">
        <f>$O$7</f>
        <v>2024-2025</v>
      </c>
      <c r="P5654" s="6"/>
      <c r="Q5654" s="5" t="str">
        <f>$Q$7</f>
        <v>APPROVED</v>
      </c>
    </row>
    <row r="5655" spans="1:20" ht="11.25" customHeight="1" x14ac:dyDescent="0.2">
      <c r="A5655" s="7" t="s">
        <v>273</v>
      </c>
      <c r="C5655" s="8" t="s">
        <v>12</v>
      </c>
      <c r="D5655" s="5"/>
      <c r="E5655" s="8" t="s">
        <v>12</v>
      </c>
      <c r="F5655" s="5"/>
      <c r="G5655" s="8" t="s">
        <v>12</v>
      </c>
      <c r="H5655" s="5"/>
      <c r="I5655" s="8" t="s">
        <v>13</v>
      </c>
      <c r="J5655" s="5"/>
      <c r="K5655" s="8" t="s">
        <v>13</v>
      </c>
      <c r="L5655" s="6"/>
      <c r="M5655" s="8" t="str">
        <f>$M$8</f>
        <v>BASE</v>
      </c>
      <c r="N5655" s="6"/>
      <c r="O5655" s="8" t="str">
        <f>$O$8</f>
        <v>SUPPLEMENTAL</v>
      </c>
      <c r="P5655" s="6"/>
      <c r="Q5655" s="8" t="str">
        <f>$Q$8</f>
        <v>BUDGET</v>
      </c>
    </row>
    <row r="5656" spans="1:20" s="39" customFormat="1" ht="10.15" customHeight="1" x14ac:dyDescent="0.25">
      <c r="C5656" s="40"/>
      <c r="D5656" s="40"/>
      <c r="E5656" s="40"/>
      <c r="F5656" s="40"/>
      <c r="G5656" s="40"/>
      <c r="H5656" s="40"/>
      <c r="I5656" s="40"/>
      <c r="J5656" s="40"/>
      <c r="K5656" s="40"/>
      <c r="M5656" s="40"/>
      <c r="O5656" s="40"/>
      <c r="Q5656" s="40"/>
      <c r="S5656" s="40"/>
      <c r="T5656" s="4"/>
    </row>
    <row r="5657" spans="1:20" s="39" customFormat="1" ht="11.25" customHeight="1" x14ac:dyDescent="0.25">
      <c r="C5657" s="40"/>
      <c r="D5657" s="40"/>
      <c r="E5657" s="40"/>
      <c r="F5657" s="40"/>
      <c r="G5657" s="40"/>
      <c r="H5657" s="40"/>
      <c r="I5657" s="40"/>
      <c r="J5657" s="40"/>
      <c r="K5657" s="40"/>
      <c r="L5657" s="41"/>
      <c r="M5657" s="40"/>
      <c r="N5657" s="41"/>
      <c r="O5657" s="40"/>
      <c r="P5657" s="41"/>
      <c r="Q5657" s="40"/>
      <c r="S5657" s="40"/>
      <c r="T5657" s="4"/>
    </row>
    <row r="5658" spans="1:20" s="39" customFormat="1" ht="11.25" customHeight="1" thickBot="1" x14ac:dyDescent="0.3">
      <c r="A5658" s="3" t="s">
        <v>1123</v>
      </c>
      <c r="B5658" s="3"/>
      <c r="C5658" s="25">
        <f>+C5642</f>
        <v>59180.24</v>
      </c>
      <c r="D5658" s="2"/>
      <c r="E5658" s="25">
        <f>+E5642</f>
        <v>45221.5</v>
      </c>
      <c r="F5658" s="2"/>
      <c r="G5658" s="25">
        <f>+G5642</f>
        <v>54670.15</v>
      </c>
      <c r="H5658" s="2"/>
      <c r="I5658" s="25">
        <f>+I5642</f>
        <v>68529</v>
      </c>
      <c r="J5658" s="2"/>
      <c r="K5658" s="25">
        <f>+K5642</f>
        <v>68529</v>
      </c>
      <c r="L5658" s="9"/>
      <c r="M5658" s="36">
        <f>+M5642</f>
        <v>58878</v>
      </c>
      <c r="N5658" s="9"/>
      <c r="O5658" s="36">
        <f>+O5642</f>
        <v>0</v>
      </c>
      <c r="P5658" s="9"/>
      <c r="Q5658" s="36">
        <f>+Q5642</f>
        <v>58878</v>
      </c>
      <c r="R5658" s="3"/>
      <c r="S5658" s="40"/>
      <c r="T5658" s="4"/>
    </row>
    <row r="5659" spans="1:20" s="39" customFormat="1" ht="11.25" customHeight="1" thickTop="1" x14ac:dyDescent="0.25">
      <c r="A5659" s="3"/>
      <c r="B5659" s="3"/>
      <c r="C5659" s="2"/>
      <c r="D5659" s="2"/>
      <c r="E5659" s="2"/>
      <c r="F5659" s="2"/>
      <c r="G5659" s="2"/>
      <c r="H5659" s="2"/>
      <c r="I5659" s="2"/>
      <c r="J5659" s="2"/>
      <c r="K5659" s="2"/>
      <c r="L5659" s="9"/>
      <c r="M5659" s="2"/>
      <c r="N5659" s="9"/>
      <c r="O5659" s="2"/>
      <c r="P5659" s="9"/>
      <c r="Q5659" s="2"/>
      <c r="R5659" s="3"/>
      <c r="S5659" s="40"/>
      <c r="T5659" s="4"/>
    </row>
    <row r="5660" spans="1:20" s="39" customFormat="1" ht="11.25" customHeight="1" thickBot="1" x14ac:dyDescent="0.3">
      <c r="A5660" s="3" t="s">
        <v>1124</v>
      </c>
      <c r="B5660" s="3"/>
      <c r="C5660" s="36">
        <f>C5582-C5658</f>
        <v>-13105.299999999996</v>
      </c>
      <c r="D5660" s="9"/>
      <c r="E5660" s="36">
        <f>E5582-E5658</f>
        <v>4862.9000000000015</v>
      </c>
      <c r="F5660" s="9"/>
      <c r="G5660" s="36">
        <f>G5582-G5658</f>
        <v>-1550.0800000000017</v>
      </c>
      <c r="H5660" s="9"/>
      <c r="I5660" s="36">
        <f>I5582-I5658</f>
        <v>-19729</v>
      </c>
      <c r="J5660" s="9"/>
      <c r="K5660" s="36">
        <f>K5582-K5658</f>
        <v>-19729</v>
      </c>
      <c r="L5660" s="9"/>
      <c r="M5660" s="36">
        <f>M5582-M5658</f>
        <v>-5378</v>
      </c>
      <c r="N5660" s="9"/>
      <c r="O5660" s="36">
        <f>O5582-O5658</f>
        <v>0</v>
      </c>
      <c r="P5660" s="9"/>
      <c r="Q5660" s="36">
        <f>Q5582-Q5658</f>
        <v>-5378</v>
      </c>
      <c r="R5660" s="3"/>
      <c r="S5660" s="40"/>
      <c r="T5660" s="4"/>
    </row>
    <row r="5661" spans="1:20" s="39" customFormat="1" ht="11.25" customHeight="1" thickTop="1" x14ac:dyDescent="0.25">
      <c r="A5661" s="3"/>
      <c r="B5661" s="3"/>
      <c r="C5661" s="2"/>
      <c r="D5661" s="2"/>
      <c r="E5661" s="2"/>
      <c r="F5661" s="2"/>
      <c r="G5661" s="2"/>
      <c r="H5661" s="2"/>
      <c r="I5661" s="2"/>
      <c r="J5661" s="2"/>
      <c r="K5661" s="2"/>
      <c r="L5661" s="9"/>
      <c r="M5661" s="2"/>
      <c r="N5661" s="9"/>
      <c r="O5661" s="2"/>
      <c r="P5661" s="9"/>
      <c r="Q5661" s="2"/>
      <c r="R5661" s="3"/>
      <c r="S5661" s="40"/>
      <c r="T5661" s="4"/>
    </row>
    <row r="5662" spans="1:20" s="39" customFormat="1" ht="11.25" customHeight="1" x14ac:dyDescent="0.25">
      <c r="A5662" s="3"/>
      <c r="B5662" s="3"/>
      <c r="C5662" s="2"/>
      <c r="D5662" s="2"/>
      <c r="E5662" s="2"/>
      <c r="F5662" s="2"/>
      <c r="G5662" s="2"/>
      <c r="H5662" s="2"/>
      <c r="I5662" s="2"/>
      <c r="J5662" s="2"/>
      <c r="K5662" s="2"/>
      <c r="L5662" s="9"/>
      <c r="M5662" s="2"/>
      <c r="N5662" s="9"/>
      <c r="O5662" s="2"/>
      <c r="P5662" s="9"/>
      <c r="Q5662" s="2"/>
      <c r="R5662" s="3"/>
      <c r="S5662" s="40"/>
      <c r="T5662" s="4"/>
    </row>
    <row r="5663" spans="1:20" s="39" customFormat="1" ht="11.25" customHeight="1" x14ac:dyDescent="0.25">
      <c r="A5663" s="3" t="s">
        <v>1125</v>
      </c>
      <c r="B5663" s="3"/>
      <c r="C5663" s="2"/>
      <c r="D5663" s="2"/>
      <c r="E5663" s="2"/>
      <c r="F5663" s="2"/>
      <c r="G5663" s="2"/>
      <c r="H5663" s="2"/>
      <c r="I5663" s="2"/>
      <c r="J5663" s="2"/>
      <c r="K5663" s="2"/>
      <c r="L5663" s="9"/>
      <c r="M5663" s="2"/>
      <c r="N5663" s="9"/>
      <c r="O5663" s="2"/>
      <c r="P5663" s="9"/>
      <c r="Q5663" s="2"/>
      <c r="R5663" s="3"/>
      <c r="S5663" s="40"/>
      <c r="T5663" s="4"/>
    </row>
    <row r="5664" spans="1:20" s="39" customFormat="1" ht="11.25" customHeight="1" thickBot="1" x14ac:dyDescent="0.3">
      <c r="A5664" s="3" t="s">
        <v>17</v>
      </c>
      <c r="B5664" s="3"/>
      <c r="C5664" s="25">
        <f>C5563+C5582-C5642</f>
        <v>96886.950000000012</v>
      </c>
      <c r="D5664" s="2"/>
      <c r="E5664" s="25">
        <f>E5563+E5582-E5642</f>
        <v>101749.85</v>
      </c>
      <c r="F5664" s="2"/>
      <c r="G5664" s="25">
        <f>G5563+G5582-G5642</f>
        <v>100199.77000000002</v>
      </c>
      <c r="H5664" s="2"/>
      <c r="I5664" s="25">
        <f>I5563+I5582-I5642</f>
        <v>80470.770000000019</v>
      </c>
      <c r="J5664" s="2"/>
      <c r="K5664" s="25">
        <f>K5563+K5582-K5642</f>
        <v>80470.770000000019</v>
      </c>
      <c r="L5664" s="9"/>
      <c r="M5664" s="36">
        <f>M5563+M5582-M5642</f>
        <v>75092.770000000019</v>
      </c>
      <c r="N5664" s="9"/>
      <c r="O5664" s="2"/>
      <c r="P5664" s="9"/>
      <c r="Q5664" s="36">
        <f>Q5563+Q5582-Q5642</f>
        <v>75092.770000000019</v>
      </c>
      <c r="R5664" s="3"/>
      <c r="S5664" s="40"/>
      <c r="T5664" s="4"/>
    </row>
    <row r="5665" spans="1:20" s="39" customFormat="1" ht="11.25" customHeight="1" thickTop="1" x14ac:dyDescent="0.25">
      <c r="A5665" s="3"/>
      <c r="B5665" s="3"/>
      <c r="C5665" s="2"/>
      <c r="D5665" s="2"/>
      <c r="E5665" s="2"/>
      <c r="F5665" s="2"/>
      <c r="G5665" s="2"/>
      <c r="H5665" s="2"/>
      <c r="I5665" s="2"/>
      <c r="J5665" s="2"/>
      <c r="K5665" s="2"/>
      <c r="L5665" s="9"/>
      <c r="M5665" s="2"/>
      <c r="N5665" s="9"/>
      <c r="O5665" s="2"/>
      <c r="P5665" s="9"/>
      <c r="Q5665" s="2"/>
      <c r="R5665" s="3"/>
      <c r="S5665" s="40"/>
      <c r="T5665" s="4"/>
    </row>
    <row r="5666" spans="1:20" s="39" customFormat="1" ht="11.25" customHeight="1" x14ac:dyDescent="0.25">
      <c r="C5666" s="40"/>
      <c r="D5666" s="40"/>
      <c r="E5666" s="40"/>
      <c r="F5666" s="40"/>
      <c r="G5666" s="40"/>
      <c r="H5666" s="40"/>
      <c r="I5666" s="40"/>
      <c r="J5666" s="40"/>
      <c r="K5666" s="40"/>
      <c r="M5666" s="40"/>
      <c r="O5666" s="40"/>
      <c r="Q5666" s="40"/>
      <c r="S5666" s="40"/>
      <c r="T5666" s="4"/>
    </row>
    <row r="5667" spans="1:20" ht="11.25" customHeight="1" x14ac:dyDescent="0.2"/>
    <row r="5668" spans="1:20" ht="11.85" customHeight="1" x14ac:dyDescent="0.2"/>
    <row r="5669" spans="1:20" ht="11.85" customHeight="1" x14ac:dyDescent="0.2"/>
    <row r="5670" spans="1:20" ht="11.85" customHeight="1" x14ac:dyDescent="0.2"/>
    <row r="5671" spans="1:20" ht="11.85" customHeight="1" x14ac:dyDescent="0.2"/>
    <row r="5672" spans="1:20" ht="11.85" customHeight="1" x14ac:dyDescent="0.2"/>
    <row r="5673" spans="1:20" ht="11.85" customHeight="1" x14ac:dyDescent="0.2"/>
    <row r="5674" spans="1:20" ht="11.85" customHeight="1" x14ac:dyDescent="0.2"/>
    <row r="5675" spans="1:20" ht="11.85" customHeight="1" x14ac:dyDescent="0.2"/>
    <row r="5676" spans="1:20" ht="11.85" customHeight="1" x14ac:dyDescent="0.2"/>
    <row r="5677" spans="1:20" ht="11.85" customHeight="1" x14ac:dyDescent="0.2"/>
    <row r="5678" spans="1:20" ht="11.85" customHeight="1" x14ac:dyDescent="0.2"/>
    <row r="5679" spans="1:20" ht="11.85" customHeight="1" x14ac:dyDescent="0.2"/>
    <row r="5680" spans="1:20" ht="11.85" customHeight="1" x14ac:dyDescent="0.2"/>
    <row r="5681" spans="1:17" ht="11.85" customHeight="1" x14ac:dyDescent="0.2"/>
    <row r="5682" spans="1:17" ht="11.85" customHeight="1" x14ac:dyDescent="0.2"/>
    <row r="5683" spans="1:17" ht="11.85" customHeight="1" x14ac:dyDescent="0.2"/>
    <row r="5684" spans="1:17" ht="11.85" customHeight="1" x14ac:dyDescent="0.2"/>
    <row r="5685" spans="1:17" ht="11.25" customHeight="1" x14ac:dyDescent="0.2">
      <c r="A5685" s="1"/>
      <c r="B5685" s="1"/>
      <c r="E5685" s="2" t="str">
        <f>$E$1</f>
        <v>CITY OF BRADY</v>
      </c>
    </row>
    <row r="5686" spans="1:17" ht="11.25" customHeight="1" x14ac:dyDescent="0.2">
      <c r="E5686" s="2" t="str">
        <f>$E$2</f>
        <v>BUDGET REPORT</v>
      </c>
    </row>
    <row r="5687" spans="1:17" ht="11.25" customHeight="1" x14ac:dyDescent="0.2">
      <c r="E5687" s="2" t="str">
        <f>$E$3</f>
        <v>FISCAL YEAR 2024 - 2025</v>
      </c>
    </row>
    <row r="5688" spans="1:17" ht="11.25" customHeight="1" x14ac:dyDescent="0.2">
      <c r="A5688" s="3" t="s">
        <v>2146</v>
      </c>
    </row>
    <row r="5689" spans="1:17" ht="11.25" customHeight="1" x14ac:dyDescent="0.2"/>
    <row r="5690" spans="1:17" ht="11.25" customHeight="1" x14ac:dyDescent="0.2">
      <c r="I5690" s="53" t="str">
        <f>$I$6</f>
        <v>(----- 2023-2024------)</v>
      </c>
      <c r="J5690" s="53"/>
      <c r="K5690" s="53"/>
      <c r="L5690" s="6"/>
      <c r="M5690" s="54" t="str">
        <f>$M$6</f>
        <v>2024-2025</v>
      </c>
      <c r="N5690" s="54"/>
      <c r="O5690" s="54"/>
      <c r="P5690" s="54"/>
      <c r="Q5690" s="54"/>
    </row>
    <row r="5691" spans="1:17" ht="11.25" customHeight="1" x14ac:dyDescent="0.2">
      <c r="C5691" s="5" t="str">
        <f>$C$7</f>
        <v>2020-2021</v>
      </c>
      <c r="D5691" s="5"/>
      <c r="E5691" s="5" t="str">
        <f>$E$7</f>
        <v>2021-2022</v>
      </c>
      <c r="F5691" s="5"/>
      <c r="G5691" s="5" t="str">
        <f>$G$7</f>
        <v>2022-2023</v>
      </c>
      <c r="H5691" s="5"/>
      <c r="I5691" s="5" t="s">
        <v>9</v>
      </c>
      <c r="J5691" s="5"/>
      <c r="K5691" s="5" t="str">
        <f>+$K$7</f>
        <v>PROJECTED</v>
      </c>
      <c r="L5691" s="6"/>
      <c r="M5691" s="5">
        <f>$M$7</f>
        <v>0</v>
      </c>
      <c r="N5691" s="6"/>
      <c r="O5691" s="5" t="str">
        <f>$O$7</f>
        <v>2024-2025</v>
      </c>
      <c r="P5691" s="6"/>
      <c r="Q5691" s="5" t="str">
        <f>$Q$7</f>
        <v>APPROVED</v>
      </c>
    </row>
    <row r="5692" spans="1:17" ht="11.25" customHeight="1" x14ac:dyDescent="0.2">
      <c r="A5692" s="7"/>
      <c r="C5692" s="8" t="s">
        <v>12</v>
      </c>
      <c r="D5692" s="5"/>
      <c r="E5692" s="8" t="s">
        <v>12</v>
      </c>
      <c r="F5692" s="5"/>
      <c r="G5692" s="8" t="s">
        <v>12</v>
      </c>
      <c r="H5692" s="5"/>
      <c r="I5692" s="8" t="s">
        <v>13</v>
      </c>
      <c r="J5692" s="5"/>
      <c r="K5692" s="8" t="s">
        <v>13</v>
      </c>
      <c r="L5692" s="6"/>
      <c r="M5692" s="8" t="str">
        <f>$M$8</f>
        <v>BASE</v>
      </c>
      <c r="N5692" s="6"/>
      <c r="O5692" s="8" t="str">
        <f>$O$8</f>
        <v>SUPPLEMENTAL</v>
      </c>
      <c r="P5692" s="6"/>
      <c r="Q5692" s="8" t="str">
        <f>$Q$8</f>
        <v>BUDGET</v>
      </c>
    </row>
    <row r="5693" spans="1:17" ht="11.25" customHeight="1" x14ac:dyDescent="0.2"/>
    <row r="5694" spans="1:17" ht="11.25" customHeight="1" x14ac:dyDescent="0.2">
      <c r="A5694" s="3" t="s">
        <v>16</v>
      </c>
      <c r="L5694" s="9"/>
      <c r="N5694" s="9"/>
      <c r="P5694" s="9"/>
    </row>
    <row r="5695" spans="1:17" ht="11.25" customHeight="1" x14ac:dyDescent="0.2">
      <c r="A5695" s="3" t="s">
        <v>17</v>
      </c>
      <c r="C5695" s="2">
        <f>127761-0.1</f>
        <v>127760.9</v>
      </c>
      <c r="E5695" s="2">
        <f>+C5769</f>
        <v>88065.97</v>
      </c>
      <c r="G5695" s="2">
        <f>+E5769</f>
        <v>134012.57999999996</v>
      </c>
      <c r="I5695" s="2">
        <f>+G5769</f>
        <v>141915.57999999999</v>
      </c>
      <c r="K5695" s="2">
        <f>+I5695</f>
        <v>141915.57999999999</v>
      </c>
      <c r="L5695" s="9"/>
      <c r="M5695" s="9">
        <f>+K5769</f>
        <v>127665.57999999996</v>
      </c>
      <c r="N5695" s="9"/>
      <c r="P5695" s="9"/>
      <c r="Q5695" s="2">
        <f>+M5695</f>
        <v>127665.57999999996</v>
      </c>
    </row>
    <row r="5696" spans="1:17" ht="11.25" customHeight="1" x14ac:dyDescent="0.2">
      <c r="L5696" s="9"/>
      <c r="N5696" s="9"/>
      <c r="P5696" s="9"/>
    </row>
    <row r="5697" spans="1:17" ht="11.25" customHeight="1" x14ac:dyDescent="0.2">
      <c r="A5697" s="10" t="s">
        <v>18</v>
      </c>
      <c r="L5697" s="9"/>
      <c r="N5697" s="9"/>
      <c r="P5697" s="9"/>
    </row>
    <row r="5698" spans="1:17" ht="11.25" customHeight="1" x14ac:dyDescent="0.2">
      <c r="L5698" s="9"/>
      <c r="N5698" s="9"/>
      <c r="P5698" s="9"/>
    </row>
    <row r="5699" spans="1:17" ht="11.25" customHeight="1" x14ac:dyDescent="0.2">
      <c r="A5699" s="10" t="s">
        <v>1912</v>
      </c>
      <c r="L5699" s="9"/>
      <c r="N5699" s="9"/>
      <c r="P5699" s="9"/>
    </row>
    <row r="5700" spans="1:17" ht="11.25" customHeight="1" x14ac:dyDescent="0.2">
      <c r="A5700" s="3" t="s">
        <v>2147</v>
      </c>
      <c r="C5700" s="12">
        <v>217581.28</v>
      </c>
      <c r="E5700" s="12">
        <v>265779.36</v>
      </c>
      <c r="G5700" s="12">
        <v>244172.9</v>
      </c>
      <c r="I5700" s="12">
        <v>215000</v>
      </c>
      <c r="K5700" s="12">
        <v>215000</v>
      </c>
      <c r="L5700" s="9"/>
      <c r="M5700" s="12">
        <v>215000</v>
      </c>
      <c r="N5700" s="9"/>
      <c r="O5700" s="12">
        <v>0</v>
      </c>
      <c r="P5700" s="9"/>
      <c r="Q5700" s="12">
        <f>M5700+O5700</f>
        <v>215000</v>
      </c>
    </row>
    <row r="5701" spans="1:17" ht="11.25" customHeight="1" x14ac:dyDescent="0.2">
      <c r="A5701" s="3" t="s">
        <v>1174</v>
      </c>
      <c r="C5701" s="2">
        <f>SUM(C5700:C5700)</f>
        <v>217581.28</v>
      </c>
      <c r="E5701" s="2">
        <f>SUM(E5700:E5700)</f>
        <v>265779.36</v>
      </c>
      <c r="G5701" s="2">
        <f>SUM(G5700:G5700)</f>
        <v>244172.9</v>
      </c>
      <c r="I5701" s="2">
        <f>SUM(I5700:I5700)</f>
        <v>215000</v>
      </c>
      <c r="K5701" s="2">
        <f>SUM(K5700:K5700)</f>
        <v>215000</v>
      </c>
      <c r="L5701" s="9"/>
      <c r="M5701" s="2">
        <f>SUM(M5700:M5700)</f>
        <v>215000</v>
      </c>
      <c r="N5701" s="9"/>
      <c r="O5701" s="2">
        <f>SUM(O5700:O5700)</f>
        <v>0</v>
      </c>
      <c r="P5701" s="9"/>
      <c r="Q5701" s="2">
        <f>SUM(Q5700:Q5700)</f>
        <v>215000</v>
      </c>
    </row>
    <row r="5702" spans="1:17" ht="11.25" customHeight="1" x14ac:dyDescent="0.2">
      <c r="L5702" s="9"/>
      <c r="N5702" s="9"/>
      <c r="P5702" s="9"/>
    </row>
    <row r="5703" spans="1:17" ht="11.85" customHeight="1" x14ac:dyDescent="0.2">
      <c r="A5703" s="10" t="s">
        <v>244</v>
      </c>
      <c r="L5703" s="9"/>
      <c r="N5703" s="9"/>
      <c r="P5703" s="9"/>
    </row>
    <row r="5704" spans="1:17" ht="11.85" customHeight="1" x14ac:dyDescent="0.2">
      <c r="A5704" s="3" t="s">
        <v>2148</v>
      </c>
      <c r="C5704" s="12">
        <v>0</v>
      </c>
      <c r="E5704" s="12">
        <v>0</v>
      </c>
      <c r="G5704" s="12">
        <v>0</v>
      </c>
      <c r="I5704" s="12">
        <v>0</v>
      </c>
      <c r="K5704" s="12">
        <v>0</v>
      </c>
      <c r="L5704" s="9"/>
      <c r="M5704" s="12">
        <v>0</v>
      </c>
      <c r="N5704" s="9"/>
      <c r="O5704" s="12">
        <v>0</v>
      </c>
      <c r="P5704" s="9"/>
      <c r="Q5704" s="12">
        <f>+M5704+O5704</f>
        <v>0</v>
      </c>
    </row>
    <row r="5705" spans="1:17" ht="11.85" customHeight="1" x14ac:dyDescent="0.2">
      <c r="A5705" s="3" t="s">
        <v>258</v>
      </c>
      <c r="C5705" s="2">
        <f>SUM(C5704:C5704)</f>
        <v>0</v>
      </c>
      <c r="E5705" s="2">
        <f>SUM(E5704:E5704)</f>
        <v>0</v>
      </c>
      <c r="G5705" s="2">
        <f>SUM(G5704:G5704)</f>
        <v>0</v>
      </c>
      <c r="I5705" s="2">
        <f>SUM(I5704:I5704)</f>
        <v>0</v>
      </c>
      <c r="K5705" s="2">
        <f>SUM(K5704:K5704)</f>
        <v>0</v>
      </c>
      <c r="L5705" s="9"/>
      <c r="M5705" s="2">
        <f>SUM(M5704:M5704)</f>
        <v>0</v>
      </c>
      <c r="N5705" s="9"/>
      <c r="O5705" s="2">
        <f>SUM(O5704:O5704)</f>
        <v>0</v>
      </c>
      <c r="P5705" s="9"/>
      <c r="Q5705" s="2">
        <f>SUM(Q5704:Q5704)</f>
        <v>0</v>
      </c>
    </row>
    <row r="5706" spans="1:17" ht="11.85" customHeight="1" x14ac:dyDescent="0.2"/>
    <row r="5707" spans="1:17" ht="11.25" customHeight="1" thickBot="1" x14ac:dyDescent="0.25">
      <c r="A5707" s="3" t="s">
        <v>270</v>
      </c>
      <c r="C5707" s="25">
        <f>C5701+C5705</f>
        <v>217581.28</v>
      </c>
      <c r="E5707" s="25">
        <f>E5701+E5705</f>
        <v>265779.36</v>
      </c>
      <c r="G5707" s="25">
        <f>G5701+G5705</f>
        <v>244172.9</v>
      </c>
      <c r="I5707" s="25">
        <f>I5701+I5705</f>
        <v>215000</v>
      </c>
      <c r="K5707" s="25">
        <f>K5701+K5705</f>
        <v>215000</v>
      </c>
      <c r="L5707" s="9"/>
      <c r="M5707" s="25">
        <f>M5701+M5705</f>
        <v>215000</v>
      </c>
      <c r="N5707" s="9"/>
      <c r="O5707" s="25">
        <f>O5701+O5705</f>
        <v>0</v>
      </c>
      <c r="P5707" s="9"/>
      <c r="Q5707" s="25">
        <f>Q5701+Q5705</f>
        <v>215000</v>
      </c>
    </row>
    <row r="5708" spans="1:17" ht="11.25" customHeight="1" thickTop="1" x14ac:dyDescent="0.2">
      <c r="L5708" s="9"/>
      <c r="N5708" s="9"/>
      <c r="P5708" s="9"/>
    </row>
    <row r="5709" spans="1:17" ht="11.25" customHeight="1" x14ac:dyDescent="0.2">
      <c r="L5709" s="9"/>
      <c r="N5709" s="9"/>
      <c r="P5709" s="9"/>
    </row>
    <row r="5710" spans="1:17" ht="11.25" customHeight="1" x14ac:dyDescent="0.2">
      <c r="A5710" s="3" t="s">
        <v>271</v>
      </c>
      <c r="C5710" s="2">
        <f>C5695+C5707</f>
        <v>345342.18</v>
      </c>
      <c r="E5710" s="2">
        <f>E5695+E5707</f>
        <v>353845.32999999996</v>
      </c>
      <c r="G5710" s="2">
        <f>G5695+G5707</f>
        <v>378185.48</v>
      </c>
      <c r="I5710" s="2">
        <f>I5695+I5707</f>
        <v>356915.57999999996</v>
      </c>
      <c r="K5710" s="2">
        <f>K5695+K5707</f>
        <v>356915.57999999996</v>
      </c>
      <c r="L5710" s="9"/>
      <c r="M5710" s="2">
        <f>M5695+M5707</f>
        <v>342665.57999999996</v>
      </c>
      <c r="N5710" s="9"/>
      <c r="P5710" s="9"/>
      <c r="Q5710" s="2">
        <f>Q5695+Q5707</f>
        <v>342665.57999999996</v>
      </c>
    </row>
    <row r="5711" spans="1:17" ht="11.25" customHeight="1" x14ac:dyDescent="0.2"/>
    <row r="5712" spans="1:17" ht="11.85" customHeight="1" x14ac:dyDescent="0.2"/>
    <row r="5713" spans="1:5" ht="11.85" customHeight="1" x14ac:dyDescent="0.2"/>
    <row r="5714" spans="1:5" ht="11.85" customHeight="1" x14ac:dyDescent="0.2"/>
    <row r="5715" spans="1:5" ht="11.85" customHeight="1" x14ac:dyDescent="0.2"/>
    <row r="5716" spans="1:5" ht="11.85" customHeight="1" x14ac:dyDescent="0.2"/>
    <row r="5717" spans="1:5" ht="11.85" customHeight="1" x14ac:dyDescent="0.2"/>
    <row r="5718" spans="1:5" ht="11.85" customHeight="1" x14ac:dyDescent="0.2"/>
    <row r="5719" spans="1:5" ht="11.85" customHeight="1" x14ac:dyDescent="0.2"/>
    <row r="5720" spans="1:5" ht="11.85" customHeight="1" x14ac:dyDescent="0.2"/>
    <row r="5721" spans="1:5" ht="11.85" customHeight="1" x14ac:dyDescent="0.2"/>
    <row r="5722" spans="1:5" ht="11.85" customHeight="1" x14ac:dyDescent="0.2"/>
    <row r="5723" spans="1:5" ht="11.85" customHeight="1" x14ac:dyDescent="0.2"/>
    <row r="5724" spans="1:5" ht="11.85" customHeight="1" x14ac:dyDescent="0.2"/>
    <row r="5725" spans="1:5" ht="11.85" customHeight="1" x14ac:dyDescent="0.2"/>
    <row r="5726" spans="1:5" ht="11.85" customHeight="1" x14ac:dyDescent="0.2"/>
    <row r="5727" spans="1:5" ht="11.85" customHeight="1" x14ac:dyDescent="0.2"/>
    <row r="5728" spans="1:5" ht="11.85" customHeight="1" x14ac:dyDescent="0.2">
      <c r="A5728" s="1"/>
      <c r="B5728" s="1"/>
      <c r="E5728" s="2" t="str">
        <f>$E$1</f>
        <v>CITY OF BRADY</v>
      </c>
    </row>
    <row r="5729" spans="1:17" ht="11.85" customHeight="1" x14ac:dyDescent="0.2">
      <c r="E5729" s="2" t="str">
        <f>$E$2</f>
        <v>BUDGET REPORT</v>
      </c>
    </row>
    <row r="5730" spans="1:17" ht="11.85" customHeight="1" x14ac:dyDescent="0.2">
      <c r="E5730" s="2" t="str">
        <f>$E$3</f>
        <v>FISCAL YEAR 2024 - 2025</v>
      </c>
    </row>
    <row r="5731" spans="1:17" ht="11.85" customHeight="1" x14ac:dyDescent="0.2">
      <c r="A5731" s="3" t="s">
        <v>2149</v>
      </c>
    </row>
    <row r="5732" spans="1:17" ht="11.85" customHeight="1" x14ac:dyDescent="0.2">
      <c r="A5732" s="3" t="s">
        <v>2150</v>
      </c>
    </row>
    <row r="5733" spans="1:17" ht="11.85" customHeight="1" x14ac:dyDescent="0.2">
      <c r="I5733" s="53" t="str">
        <f>$I$6</f>
        <v>(----- 2023-2024------)</v>
      </c>
      <c r="J5733" s="53"/>
      <c r="K5733" s="53"/>
      <c r="L5733" s="6"/>
      <c r="M5733" s="54" t="str">
        <f>$M$6</f>
        <v>2024-2025</v>
      </c>
      <c r="N5733" s="54"/>
      <c r="O5733" s="54"/>
      <c r="P5733" s="54"/>
      <c r="Q5733" s="54"/>
    </row>
    <row r="5734" spans="1:17" ht="11.85" customHeight="1" x14ac:dyDescent="0.2">
      <c r="C5734" s="5" t="str">
        <f>$C$7</f>
        <v>2020-2021</v>
      </c>
      <c r="D5734" s="5"/>
      <c r="E5734" s="5" t="str">
        <f>$E$7</f>
        <v>2021-2022</v>
      </c>
      <c r="F5734" s="5"/>
      <c r="G5734" s="5" t="str">
        <f>$G$7</f>
        <v>2022-2023</v>
      </c>
      <c r="H5734" s="5"/>
      <c r="I5734" s="5" t="s">
        <v>9</v>
      </c>
      <c r="J5734" s="5"/>
      <c r="K5734" s="5" t="str">
        <f>+$K$7</f>
        <v>PROJECTED</v>
      </c>
      <c r="L5734" s="6"/>
      <c r="M5734" s="5">
        <f>$M$7</f>
        <v>0</v>
      </c>
      <c r="N5734" s="6"/>
      <c r="O5734" s="5" t="str">
        <f>$O$7</f>
        <v>2024-2025</v>
      </c>
      <c r="P5734" s="6"/>
      <c r="Q5734" s="5" t="str">
        <f>$Q$7</f>
        <v>APPROVED</v>
      </c>
    </row>
    <row r="5735" spans="1:17" ht="11.85" customHeight="1" x14ac:dyDescent="0.2">
      <c r="A5735" s="7" t="s">
        <v>273</v>
      </c>
      <c r="C5735" s="8" t="s">
        <v>12</v>
      </c>
      <c r="D5735" s="5"/>
      <c r="E5735" s="8" t="s">
        <v>12</v>
      </c>
      <c r="F5735" s="5"/>
      <c r="G5735" s="8" t="s">
        <v>12</v>
      </c>
      <c r="H5735" s="5"/>
      <c r="I5735" s="8" t="s">
        <v>13</v>
      </c>
      <c r="J5735" s="5"/>
      <c r="K5735" s="8" t="s">
        <v>13</v>
      </c>
      <c r="L5735" s="6"/>
      <c r="M5735" s="8" t="str">
        <f>$M$8</f>
        <v>BASE</v>
      </c>
      <c r="N5735" s="6"/>
      <c r="O5735" s="8" t="str">
        <f>$O$8</f>
        <v>SUPPLEMENTAL</v>
      </c>
      <c r="P5735" s="6"/>
      <c r="Q5735" s="8" t="str">
        <f>$Q$8</f>
        <v>BUDGET</v>
      </c>
    </row>
    <row r="5736" spans="1:17" ht="11.85" customHeight="1" x14ac:dyDescent="0.2"/>
    <row r="5737" spans="1:17" ht="11.85" customHeight="1" x14ac:dyDescent="0.2">
      <c r="A5737" s="10" t="s">
        <v>286</v>
      </c>
      <c r="L5737" s="9"/>
      <c r="N5737" s="9"/>
      <c r="P5737" s="9"/>
    </row>
    <row r="5738" spans="1:17" ht="11.85" customHeight="1" x14ac:dyDescent="0.2">
      <c r="A5738" s="3" t="s">
        <v>2151</v>
      </c>
      <c r="C5738" s="2">
        <v>51999</v>
      </c>
      <c r="E5738" s="2">
        <v>4130</v>
      </c>
      <c r="G5738" s="2">
        <v>22342</v>
      </c>
      <c r="I5738" s="2">
        <v>25000</v>
      </c>
      <c r="K5738" s="2">
        <v>25000</v>
      </c>
      <c r="L5738" s="9"/>
      <c r="M5738" s="2">
        <v>25000</v>
      </c>
      <c r="N5738" s="9"/>
      <c r="O5738" s="2">
        <v>0</v>
      </c>
      <c r="P5738" s="9"/>
      <c r="Q5738" s="2">
        <f>+M5738+O5738</f>
        <v>25000</v>
      </c>
    </row>
    <row r="5739" spans="1:17" ht="11.85" customHeight="1" x14ac:dyDescent="0.2">
      <c r="A5739" s="3" t="s">
        <v>2152</v>
      </c>
      <c r="C5739" s="12">
        <v>205277.21</v>
      </c>
      <c r="E5739" s="12">
        <v>215702.75</v>
      </c>
      <c r="G5739" s="12">
        <v>213927.9</v>
      </c>
      <c r="I5739" s="12">
        <v>204250</v>
      </c>
      <c r="K5739" s="12">
        <v>204250</v>
      </c>
      <c r="L5739" s="9"/>
      <c r="M5739" s="12">
        <v>204250</v>
      </c>
      <c r="N5739" s="9"/>
      <c r="O5739" s="12">
        <v>0</v>
      </c>
      <c r="P5739" s="9"/>
      <c r="Q5739" s="12">
        <f>+M5739+O5739</f>
        <v>204250</v>
      </c>
    </row>
    <row r="5740" spans="1:17" ht="11.85" customHeight="1" x14ac:dyDescent="0.2">
      <c r="A5740" s="3" t="s">
        <v>304</v>
      </c>
      <c r="C5740" s="2">
        <f>SUM(C5738:C5739)</f>
        <v>257276.21</v>
      </c>
      <c r="E5740" s="2">
        <f>SUM(E5738:E5739)</f>
        <v>219832.75</v>
      </c>
      <c r="G5740" s="2">
        <f>SUM(G5738:G5739)</f>
        <v>236269.9</v>
      </c>
      <c r="I5740" s="2">
        <f>SUM(I5738:I5739)</f>
        <v>229250</v>
      </c>
      <c r="K5740" s="2">
        <f>SUM(K5738:K5739)</f>
        <v>229250</v>
      </c>
      <c r="L5740" s="9"/>
      <c r="M5740" s="9">
        <f>SUM(M5738:M5739)</f>
        <v>229250</v>
      </c>
      <c r="N5740" s="9"/>
      <c r="O5740" s="9">
        <f>SUM(O5738:O5739)</f>
        <v>0</v>
      </c>
      <c r="P5740" s="9"/>
      <c r="Q5740" s="9">
        <f>SUM(Q5738:Q5739)</f>
        <v>229250</v>
      </c>
    </row>
    <row r="5741" spans="1:17" ht="11.85" customHeight="1" x14ac:dyDescent="0.2"/>
    <row r="5742" spans="1:17" ht="11.85" customHeight="1" x14ac:dyDescent="0.2">
      <c r="L5742" s="9"/>
      <c r="N5742" s="9"/>
      <c r="P5742" s="9"/>
    </row>
    <row r="5743" spans="1:17" ht="11.85" hidden="1" customHeight="1" x14ac:dyDescent="0.2">
      <c r="A5743" s="10" t="s">
        <v>332</v>
      </c>
      <c r="L5743" s="9"/>
      <c r="N5743" s="9"/>
      <c r="P5743" s="9"/>
    </row>
    <row r="5744" spans="1:17" ht="11.85" hidden="1" customHeight="1" x14ac:dyDescent="0.2">
      <c r="A5744" s="3" t="s">
        <v>1136</v>
      </c>
      <c r="C5744" s="12">
        <v>0</v>
      </c>
      <c r="E5744" s="12">
        <v>0</v>
      </c>
      <c r="G5744" s="12">
        <v>0</v>
      </c>
      <c r="I5744" s="12">
        <v>0</v>
      </c>
      <c r="K5744" s="12">
        <v>0</v>
      </c>
      <c r="L5744" s="9"/>
      <c r="M5744" s="12">
        <v>0</v>
      </c>
      <c r="N5744" s="9"/>
      <c r="O5744" s="12">
        <v>0</v>
      </c>
      <c r="P5744" s="9"/>
      <c r="Q5744" s="12">
        <f>M5744+O5744</f>
        <v>0</v>
      </c>
    </row>
    <row r="5745" spans="1:22" ht="11.85" hidden="1" customHeight="1" x14ac:dyDescent="0.2">
      <c r="A5745" s="3" t="s">
        <v>336</v>
      </c>
      <c r="C5745" s="2">
        <f>SUM(C5744:C5744)</f>
        <v>0</v>
      </c>
      <c r="E5745" s="2">
        <f>SUM(E5744:E5744)</f>
        <v>0</v>
      </c>
      <c r="G5745" s="2">
        <f>SUM(G5744:G5744)</f>
        <v>0</v>
      </c>
      <c r="I5745" s="2">
        <f>SUM(I5744:I5744)</f>
        <v>0</v>
      </c>
      <c r="K5745" s="2">
        <f>SUM(K5744:K5744)</f>
        <v>0</v>
      </c>
      <c r="L5745" s="9"/>
      <c r="M5745" s="2">
        <f>SUM(M5744:M5744)</f>
        <v>0</v>
      </c>
      <c r="N5745" s="9"/>
      <c r="O5745" s="2">
        <f>SUM(O5744:O5744)</f>
        <v>0</v>
      </c>
      <c r="P5745" s="9"/>
      <c r="Q5745" s="2">
        <f>SUM(Q5744:Q5744)</f>
        <v>0</v>
      </c>
      <c r="V5745" s="38"/>
    </row>
    <row r="5746" spans="1:22" ht="11.85" hidden="1" customHeight="1" x14ac:dyDescent="0.2">
      <c r="L5746" s="9"/>
      <c r="N5746" s="9"/>
      <c r="P5746" s="9"/>
      <c r="T5746" s="11"/>
    </row>
    <row r="5747" spans="1:22" ht="11.85" customHeight="1" x14ac:dyDescent="0.2">
      <c r="A5747" s="3" t="s">
        <v>2153</v>
      </c>
      <c r="C5747" s="2">
        <f>+C5740</f>
        <v>257276.21</v>
      </c>
      <c r="E5747" s="2">
        <f>+E5740</f>
        <v>219832.75</v>
      </c>
      <c r="G5747" s="2">
        <f>+G5740</f>
        <v>236269.9</v>
      </c>
      <c r="I5747" s="2">
        <f>+I5740</f>
        <v>229250</v>
      </c>
      <c r="K5747" s="2">
        <f>+K5740</f>
        <v>229250</v>
      </c>
      <c r="L5747" s="9"/>
      <c r="M5747" s="9">
        <f>+M5740</f>
        <v>229250</v>
      </c>
      <c r="N5747" s="9"/>
      <c r="O5747" s="9">
        <f>+O5740</f>
        <v>0</v>
      </c>
      <c r="P5747" s="9"/>
      <c r="Q5747" s="9">
        <f>+Q5740</f>
        <v>229250</v>
      </c>
      <c r="R5747" s="9"/>
      <c r="U5747" s="13"/>
    </row>
    <row r="5748" spans="1:22" ht="11.85" customHeight="1" x14ac:dyDescent="0.2">
      <c r="L5748" s="9"/>
      <c r="N5748" s="9"/>
      <c r="P5748" s="9"/>
      <c r="T5748" s="11"/>
    </row>
    <row r="5749" spans="1:22" ht="11.85" customHeight="1" x14ac:dyDescent="0.2">
      <c r="L5749" s="9"/>
      <c r="N5749" s="9"/>
      <c r="P5749" s="9"/>
    </row>
    <row r="5750" spans="1:22" ht="11.85" customHeight="1" x14ac:dyDescent="0.2">
      <c r="L5750" s="9"/>
      <c r="N5750" s="9"/>
      <c r="P5750" s="9"/>
    </row>
    <row r="5751" spans="1:22" ht="11.85" customHeight="1" x14ac:dyDescent="0.2">
      <c r="L5751" s="9"/>
      <c r="N5751" s="9"/>
      <c r="P5751" s="9"/>
    </row>
    <row r="5752" spans="1:22" ht="11.85" customHeight="1" x14ac:dyDescent="0.2">
      <c r="L5752" s="9"/>
      <c r="N5752" s="9"/>
      <c r="P5752" s="9"/>
    </row>
    <row r="5753" spans="1:22" ht="11.25" customHeight="1" x14ac:dyDescent="0.2">
      <c r="A5753" s="1"/>
      <c r="B5753" s="1"/>
      <c r="E5753" s="2" t="str">
        <f>$E$1</f>
        <v>CITY OF BRADY</v>
      </c>
    </row>
    <row r="5754" spans="1:22" ht="11.25" customHeight="1" x14ac:dyDescent="0.2">
      <c r="E5754" s="2" t="str">
        <f>$E$2</f>
        <v>BUDGET REPORT</v>
      </c>
    </row>
    <row r="5755" spans="1:22" ht="11.25" customHeight="1" x14ac:dyDescent="0.2">
      <c r="E5755" s="2" t="str">
        <f>$E$3</f>
        <v>FISCAL YEAR 2024 - 2025</v>
      </c>
    </row>
    <row r="5756" spans="1:22" ht="11.25" customHeight="1" x14ac:dyDescent="0.2">
      <c r="A5756" s="3" t="s">
        <v>2149</v>
      </c>
    </row>
    <row r="5757" spans="1:22" ht="11.25" customHeight="1" x14ac:dyDescent="0.2"/>
    <row r="5758" spans="1:22" ht="11.25" customHeight="1" x14ac:dyDescent="0.2">
      <c r="I5758" s="53" t="str">
        <f>$I$6</f>
        <v>(----- 2023-2024------)</v>
      </c>
      <c r="J5758" s="53"/>
      <c r="K5758" s="53"/>
      <c r="L5758" s="6"/>
      <c r="M5758" s="54" t="str">
        <f>$M$6</f>
        <v>2024-2025</v>
      </c>
      <c r="N5758" s="54"/>
      <c r="O5758" s="54"/>
      <c r="P5758" s="54"/>
      <c r="Q5758" s="54"/>
    </row>
    <row r="5759" spans="1:22" ht="11.25" customHeight="1" x14ac:dyDescent="0.2">
      <c r="C5759" s="5" t="str">
        <f>$C$7</f>
        <v>2020-2021</v>
      </c>
      <c r="D5759" s="5"/>
      <c r="E5759" s="5" t="str">
        <f>$E$7</f>
        <v>2021-2022</v>
      </c>
      <c r="F5759" s="5"/>
      <c r="G5759" s="5" t="str">
        <f>$G$7</f>
        <v>2022-2023</v>
      </c>
      <c r="H5759" s="5"/>
      <c r="I5759" s="5" t="s">
        <v>9</v>
      </c>
      <c r="J5759" s="5"/>
      <c r="K5759" s="5" t="str">
        <f>+$K$7</f>
        <v>PROJECTED</v>
      </c>
      <c r="L5759" s="6"/>
      <c r="M5759" s="5">
        <f>$M$7</f>
        <v>0</v>
      </c>
      <c r="N5759" s="6"/>
      <c r="O5759" s="5" t="str">
        <f>$O$7</f>
        <v>2024-2025</v>
      </c>
      <c r="P5759" s="6"/>
      <c r="Q5759" s="5" t="str">
        <f>$Q$7</f>
        <v>APPROVED</v>
      </c>
    </row>
    <row r="5760" spans="1:22" ht="11.25" customHeight="1" x14ac:dyDescent="0.2">
      <c r="A5760" s="7" t="s">
        <v>273</v>
      </c>
      <c r="C5760" s="8" t="s">
        <v>12</v>
      </c>
      <c r="D5760" s="5"/>
      <c r="E5760" s="8" t="s">
        <v>12</v>
      </c>
      <c r="F5760" s="5"/>
      <c r="G5760" s="8" t="s">
        <v>12</v>
      </c>
      <c r="H5760" s="5"/>
      <c r="I5760" s="8" t="s">
        <v>13</v>
      </c>
      <c r="J5760" s="5"/>
      <c r="K5760" s="8" t="s">
        <v>13</v>
      </c>
      <c r="L5760" s="6"/>
      <c r="M5760" s="8" t="str">
        <f>$M$8</f>
        <v>BASE</v>
      </c>
      <c r="N5760" s="6"/>
      <c r="O5760" s="8" t="str">
        <f>$O$8</f>
        <v>SUPPLEMENTAL</v>
      </c>
      <c r="P5760" s="6"/>
      <c r="Q5760" s="8" t="str">
        <f>$Q$8</f>
        <v>BUDGET</v>
      </c>
    </row>
    <row r="5761" spans="1:20" s="39" customFormat="1" ht="10.15" customHeight="1" x14ac:dyDescent="0.25">
      <c r="C5761" s="40"/>
      <c r="D5761" s="40"/>
      <c r="E5761" s="40"/>
      <c r="F5761" s="40"/>
      <c r="G5761" s="40"/>
      <c r="H5761" s="40"/>
      <c r="I5761" s="40"/>
      <c r="J5761" s="40"/>
      <c r="K5761" s="40"/>
      <c r="M5761" s="40"/>
      <c r="O5761" s="40"/>
      <c r="Q5761" s="40"/>
      <c r="S5761" s="40"/>
      <c r="T5761" s="4"/>
    </row>
    <row r="5762" spans="1:20" s="39" customFormat="1" ht="11.25" customHeight="1" x14ac:dyDescent="0.25">
      <c r="C5762" s="40"/>
      <c r="D5762" s="40"/>
      <c r="E5762" s="40"/>
      <c r="F5762" s="40"/>
      <c r="G5762" s="40"/>
      <c r="H5762" s="40"/>
      <c r="I5762" s="40"/>
      <c r="J5762" s="40"/>
      <c r="K5762" s="40"/>
      <c r="L5762" s="41"/>
      <c r="M5762" s="40"/>
      <c r="N5762" s="41"/>
      <c r="O5762" s="40"/>
      <c r="P5762" s="41"/>
      <c r="Q5762" s="40"/>
      <c r="S5762" s="40"/>
      <c r="T5762" s="4"/>
    </row>
    <row r="5763" spans="1:20" s="39" customFormat="1" ht="11.25" customHeight="1" thickBot="1" x14ac:dyDescent="0.3">
      <c r="A5763" s="3" t="s">
        <v>1123</v>
      </c>
      <c r="B5763" s="3"/>
      <c r="C5763" s="25">
        <f>+C5747</f>
        <v>257276.21</v>
      </c>
      <c r="D5763" s="2"/>
      <c r="E5763" s="25">
        <f>+E5747</f>
        <v>219832.75</v>
      </c>
      <c r="F5763" s="2"/>
      <c r="G5763" s="25">
        <f>+G5747</f>
        <v>236269.9</v>
      </c>
      <c r="H5763" s="2"/>
      <c r="I5763" s="25">
        <f>+I5747</f>
        <v>229250</v>
      </c>
      <c r="J5763" s="2"/>
      <c r="K5763" s="25">
        <f>+K5747</f>
        <v>229250</v>
      </c>
      <c r="L5763" s="9"/>
      <c r="M5763" s="36">
        <f>+M5747</f>
        <v>229250</v>
      </c>
      <c r="N5763" s="9"/>
      <c r="O5763" s="36">
        <f>+O5747</f>
        <v>0</v>
      </c>
      <c r="P5763" s="9"/>
      <c r="Q5763" s="36">
        <f>+Q5747</f>
        <v>229250</v>
      </c>
      <c r="R5763" s="3"/>
      <c r="S5763" s="40"/>
      <c r="T5763" s="4"/>
    </row>
    <row r="5764" spans="1:20" s="39" customFormat="1" ht="11.25" customHeight="1" thickTop="1" x14ac:dyDescent="0.25">
      <c r="A5764" s="3"/>
      <c r="B5764" s="3"/>
      <c r="C5764" s="2"/>
      <c r="D5764" s="2"/>
      <c r="E5764" s="2"/>
      <c r="F5764" s="2"/>
      <c r="G5764" s="2"/>
      <c r="H5764" s="2"/>
      <c r="I5764" s="2"/>
      <c r="J5764" s="2"/>
      <c r="K5764" s="2"/>
      <c r="L5764" s="9"/>
      <c r="M5764" s="2"/>
      <c r="N5764" s="9"/>
      <c r="O5764" s="2"/>
      <c r="P5764" s="9"/>
      <c r="Q5764" s="2"/>
      <c r="R5764" s="3"/>
      <c r="S5764" s="40"/>
      <c r="T5764" s="4"/>
    </row>
    <row r="5765" spans="1:20" s="39" customFormat="1" ht="11.25" customHeight="1" thickBot="1" x14ac:dyDescent="0.3">
      <c r="A5765" s="3" t="s">
        <v>1124</v>
      </c>
      <c r="B5765" s="3"/>
      <c r="C5765" s="36">
        <f>C5707-C5763</f>
        <v>-39694.929999999993</v>
      </c>
      <c r="D5765" s="9"/>
      <c r="E5765" s="36">
        <f>E5707-E5763</f>
        <v>45946.609999999986</v>
      </c>
      <c r="F5765" s="9"/>
      <c r="G5765" s="36">
        <f>G5707-G5763</f>
        <v>7903</v>
      </c>
      <c r="H5765" s="9"/>
      <c r="I5765" s="36">
        <f>I5707-I5763</f>
        <v>-14250</v>
      </c>
      <c r="J5765" s="9"/>
      <c r="K5765" s="36">
        <f>K5707-K5763</f>
        <v>-14250</v>
      </c>
      <c r="L5765" s="9"/>
      <c r="M5765" s="36">
        <f>M5707-M5763</f>
        <v>-14250</v>
      </c>
      <c r="N5765" s="9"/>
      <c r="O5765" s="36">
        <f>O5707-O5763</f>
        <v>0</v>
      </c>
      <c r="P5765" s="9"/>
      <c r="Q5765" s="36">
        <f>Q5707-Q5763</f>
        <v>-14250</v>
      </c>
      <c r="R5765" s="3"/>
      <c r="S5765" s="40"/>
      <c r="T5765" s="4"/>
    </row>
    <row r="5766" spans="1:20" s="39" customFormat="1" ht="11.25" customHeight="1" thickTop="1" x14ac:dyDescent="0.25">
      <c r="A5766" s="3"/>
      <c r="B5766" s="3"/>
      <c r="C5766" s="2"/>
      <c r="D5766" s="2"/>
      <c r="E5766" s="2"/>
      <c r="F5766" s="2"/>
      <c r="G5766" s="2"/>
      <c r="H5766" s="2"/>
      <c r="I5766" s="2"/>
      <c r="J5766" s="2"/>
      <c r="K5766" s="2"/>
      <c r="L5766" s="9"/>
      <c r="M5766" s="2"/>
      <c r="N5766" s="9"/>
      <c r="O5766" s="2"/>
      <c r="P5766" s="9"/>
      <c r="Q5766" s="2"/>
      <c r="R5766" s="3"/>
      <c r="S5766" s="40"/>
      <c r="T5766" s="4"/>
    </row>
    <row r="5767" spans="1:20" s="39" customFormat="1" ht="11.25" customHeight="1" x14ac:dyDescent="0.25">
      <c r="A5767" s="3"/>
      <c r="B5767" s="3"/>
      <c r="C5767" s="2"/>
      <c r="D5767" s="2"/>
      <c r="E5767" s="2"/>
      <c r="F5767" s="2"/>
      <c r="G5767" s="2"/>
      <c r="H5767" s="2"/>
      <c r="I5767" s="2"/>
      <c r="J5767" s="2"/>
      <c r="K5767" s="2"/>
      <c r="L5767" s="9"/>
      <c r="M5767" s="2"/>
      <c r="N5767" s="9"/>
      <c r="O5767" s="2"/>
      <c r="P5767" s="9"/>
      <c r="Q5767" s="2"/>
      <c r="R5767" s="3"/>
      <c r="S5767" s="40"/>
      <c r="T5767" s="4"/>
    </row>
    <row r="5768" spans="1:20" s="39" customFormat="1" ht="11.25" customHeight="1" x14ac:dyDescent="0.25">
      <c r="A5768" s="3" t="s">
        <v>1125</v>
      </c>
      <c r="B5768" s="3"/>
      <c r="C5768" s="2"/>
      <c r="D5768" s="2"/>
      <c r="E5768" s="2"/>
      <c r="F5768" s="2"/>
      <c r="G5768" s="2"/>
      <c r="H5768" s="2"/>
      <c r="I5768" s="2"/>
      <c r="J5768" s="2"/>
      <c r="K5768" s="2"/>
      <c r="L5768" s="9"/>
      <c r="M5768" s="2"/>
      <c r="N5768" s="9"/>
      <c r="O5768" s="2"/>
      <c r="P5768" s="9"/>
      <c r="Q5768" s="2"/>
      <c r="R5768" s="3"/>
      <c r="S5768" s="40"/>
      <c r="T5768" s="4"/>
    </row>
    <row r="5769" spans="1:20" s="39" customFormat="1" ht="11.25" customHeight="1" thickBot="1" x14ac:dyDescent="0.3">
      <c r="A5769" s="3" t="s">
        <v>17</v>
      </c>
      <c r="B5769" s="3"/>
      <c r="C5769" s="25">
        <f>C5695+C5707-C5747</f>
        <v>88065.97</v>
      </c>
      <c r="D5769" s="2"/>
      <c r="E5769" s="25">
        <f>E5695+E5707-E5747</f>
        <v>134012.57999999996</v>
      </c>
      <c r="F5769" s="2"/>
      <c r="G5769" s="25">
        <f>G5695+G5707-G5747</f>
        <v>141915.57999999999</v>
      </c>
      <c r="H5769" s="2"/>
      <c r="I5769" s="25">
        <f>I5695+I5707-I5747</f>
        <v>127665.57999999996</v>
      </c>
      <c r="J5769" s="2"/>
      <c r="K5769" s="25">
        <f>K5695+K5707-K5747</f>
        <v>127665.57999999996</v>
      </c>
      <c r="L5769" s="9"/>
      <c r="M5769" s="36">
        <f>M5695+M5707-M5747</f>
        <v>113415.57999999996</v>
      </c>
      <c r="N5769" s="9"/>
      <c r="O5769" s="2"/>
      <c r="P5769" s="9"/>
      <c r="Q5769" s="36">
        <f>Q5695+Q5707-Q5747</f>
        <v>113415.57999999996</v>
      </c>
      <c r="R5769" s="3"/>
      <c r="S5769" s="40"/>
      <c r="T5769" s="4"/>
    </row>
    <row r="5770" spans="1:20" s="39" customFormat="1" ht="11.25" customHeight="1" thickTop="1" x14ac:dyDescent="0.25">
      <c r="A5770" s="3"/>
      <c r="B5770" s="3"/>
      <c r="C5770" s="2"/>
      <c r="D5770" s="2"/>
      <c r="E5770" s="2"/>
      <c r="F5770" s="2"/>
      <c r="G5770" s="2"/>
      <c r="H5770" s="2"/>
      <c r="I5770" s="2"/>
      <c r="J5770" s="2"/>
      <c r="K5770" s="2"/>
      <c r="L5770" s="9"/>
      <c r="M5770" s="2"/>
      <c r="N5770" s="9"/>
      <c r="O5770" s="2"/>
      <c r="P5770" s="9"/>
      <c r="Q5770" s="2"/>
      <c r="R5770" s="3"/>
      <c r="S5770" s="40"/>
      <c r="T5770" s="4"/>
    </row>
    <row r="5771" spans="1:20" s="39" customFormat="1" ht="11.25" customHeight="1" x14ac:dyDescent="0.25">
      <c r="C5771" s="40"/>
      <c r="D5771" s="40"/>
      <c r="E5771" s="40"/>
      <c r="F5771" s="40"/>
      <c r="G5771" s="40"/>
      <c r="H5771" s="40"/>
      <c r="I5771" s="40"/>
      <c r="J5771" s="40"/>
      <c r="K5771" s="40"/>
      <c r="M5771" s="40"/>
      <c r="O5771" s="40"/>
      <c r="Q5771" s="40"/>
      <c r="S5771" s="40"/>
      <c r="T5771" s="4"/>
    </row>
    <row r="5772" spans="1:20" ht="11.25" customHeight="1" x14ac:dyDescent="0.2"/>
    <row r="5773" spans="1:20" ht="11.85" customHeight="1" x14ac:dyDescent="0.2"/>
    <row r="5774" spans="1:20" ht="11.85" customHeight="1" x14ac:dyDescent="0.2"/>
    <row r="5775" spans="1:20" ht="11.85" customHeight="1" x14ac:dyDescent="0.2"/>
    <row r="5776" spans="1:20" ht="11.85" customHeight="1" x14ac:dyDescent="0.2"/>
    <row r="5777" ht="11.85" customHeight="1" x14ac:dyDescent="0.2"/>
    <row r="5778" ht="11.85" customHeight="1" x14ac:dyDescent="0.2"/>
    <row r="5779" ht="11.85" customHeight="1" x14ac:dyDescent="0.2"/>
    <row r="5780" ht="11.85" customHeight="1" x14ac:dyDescent="0.2"/>
    <row r="5781" ht="11.85" customHeight="1" x14ac:dyDescent="0.2"/>
    <row r="5782" ht="11.85" customHeight="1" x14ac:dyDescent="0.2"/>
    <row r="5783" ht="11.85" customHeight="1" x14ac:dyDescent="0.2"/>
    <row r="5784" ht="11.85" customHeight="1" x14ac:dyDescent="0.2"/>
    <row r="5785" ht="11.85" customHeight="1" x14ac:dyDescent="0.2"/>
    <row r="5786" ht="11.85" customHeight="1" x14ac:dyDescent="0.2"/>
    <row r="5787" ht="11.85" customHeight="1" x14ac:dyDescent="0.2"/>
    <row r="5788" ht="11.85" customHeight="1" x14ac:dyDescent="0.2"/>
    <row r="5789" ht="11.85" customHeight="1" x14ac:dyDescent="0.2"/>
    <row r="5790" ht="11.85" customHeight="1" x14ac:dyDescent="0.2"/>
    <row r="5791" ht="11.85" customHeight="1" x14ac:dyDescent="0.2"/>
    <row r="5792" ht="11.85" customHeight="1" x14ac:dyDescent="0.2"/>
    <row r="5793" ht="11.85" customHeight="1" x14ac:dyDescent="0.2"/>
    <row r="5794" ht="11.85" customHeight="1" x14ac:dyDescent="0.2"/>
    <row r="5795" ht="11.85" customHeight="1" x14ac:dyDescent="0.2"/>
    <row r="5796" ht="11.85" customHeight="1" x14ac:dyDescent="0.2"/>
    <row r="5797" ht="11.85" customHeight="1" x14ac:dyDescent="0.2"/>
    <row r="5798" ht="11.85" customHeight="1" x14ac:dyDescent="0.2"/>
    <row r="5799" ht="11.85" customHeight="1" x14ac:dyDescent="0.2"/>
    <row r="5800" ht="11.85" customHeight="1" x14ac:dyDescent="0.2"/>
    <row r="5801" ht="11.85" customHeight="1" x14ac:dyDescent="0.2"/>
    <row r="5802" ht="11.85" customHeight="1" x14ac:dyDescent="0.2"/>
    <row r="5803" ht="11.85" customHeight="1" x14ac:dyDescent="0.2"/>
    <row r="5804" ht="11.85" customHeight="1" x14ac:dyDescent="0.2"/>
    <row r="5805" ht="11.85" customHeight="1" x14ac:dyDescent="0.2"/>
    <row r="5806" ht="11.85" customHeight="1" x14ac:dyDescent="0.2"/>
    <row r="5807" ht="11.85" customHeight="1" x14ac:dyDescent="0.2"/>
    <row r="5808" ht="11.85" customHeight="1" x14ac:dyDescent="0.2"/>
    <row r="5809" spans="1:17" ht="11.85" customHeight="1" x14ac:dyDescent="0.2"/>
    <row r="5810" spans="1:17" ht="11.85" customHeight="1" x14ac:dyDescent="0.2"/>
    <row r="5811" spans="1:17" ht="11.85" customHeight="1" x14ac:dyDescent="0.2"/>
    <row r="5812" spans="1:17" ht="11.85" customHeight="1" x14ac:dyDescent="0.2"/>
    <row r="5813" spans="1:17" ht="11.85" customHeight="1" x14ac:dyDescent="0.2"/>
    <row r="5814" spans="1:17" ht="11.85" customHeight="1" x14ac:dyDescent="0.2"/>
    <row r="5815" spans="1:17" ht="11.85" customHeight="1" x14ac:dyDescent="0.2"/>
    <row r="5816" spans="1:17" ht="11.85" customHeight="1" x14ac:dyDescent="0.2"/>
    <row r="5817" spans="1:17" ht="11.85" customHeight="1" x14ac:dyDescent="0.2"/>
    <row r="5818" spans="1:17" ht="11.85" customHeight="1" x14ac:dyDescent="0.2"/>
    <row r="5819" spans="1:17" ht="11.25" customHeight="1" x14ac:dyDescent="0.2">
      <c r="A5819" s="1"/>
      <c r="B5819" s="1"/>
      <c r="E5819" s="2" t="str">
        <f>$E$1</f>
        <v>CITY OF BRADY</v>
      </c>
    </row>
    <row r="5820" spans="1:17" ht="11.25" customHeight="1" x14ac:dyDescent="0.2">
      <c r="E5820" s="2" t="str">
        <f>$E$2</f>
        <v>BUDGET REPORT</v>
      </c>
    </row>
    <row r="5821" spans="1:17" ht="11.25" customHeight="1" x14ac:dyDescent="0.2">
      <c r="E5821" s="2" t="str">
        <f>$E$3</f>
        <v>FISCAL YEAR 2024 - 2025</v>
      </c>
    </row>
    <row r="5822" spans="1:17" ht="11.25" customHeight="1" x14ac:dyDescent="0.2">
      <c r="A5822" s="3" t="s">
        <v>2154</v>
      </c>
    </row>
    <row r="5823" spans="1:17" ht="11.25" customHeight="1" x14ac:dyDescent="0.2"/>
    <row r="5824" spans="1:17" ht="11.25" customHeight="1" x14ac:dyDescent="0.2">
      <c r="I5824" s="53" t="str">
        <f>$I$6</f>
        <v>(----- 2023-2024------)</v>
      </c>
      <c r="J5824" s="53"/>
      <c r="K5824" s="53"/>
      <c r="L5824" s="6"/>
      <c r="M5824" s="54" t="str">
        <f>$M$6</f>
        <v>2024-2025</v>
      </c>
      <c r="N5824" s="54"/>
      <c r="O5824" s="54"/>
      <c r="P5824" s="54"/>
      <c r="Q5824" s="54"/>
    </row>
    <row r="5825" spans="1:17" ht="11.25" customHeight="1" x14ac:dyDescent="0.2">
      <c r="C5825" s="5" t="str">
        <f>$C$7</f>
        <v>2020-2021</v>
      </c>
      <c r="D5825" s="5"/>
      <c r="E5825" s="5" t="str">
        <f>$E$7</f>
        <v>2021-2022</v>
      </c>
      <c r="F5825" s="5"/>
      <c r="G5825" s="5" t="str">
        <f>$G$7</f>
        <v>2022-2023</v>
      </c>
      <c r="H5825" s="5"/>
      <c r="I5825" s="5" t="s">
        <v>9</v>
      </c>
      <c r="J5825" s="5"/>
      <c r="K5825" s="5" t="str">
        <f>+$K$7</f>
        <v>PROJECTED</v>
      </c>
      <c r="L5825" s="6"/>
      <c r="M5825" s="5">
        <f>$M$7</f>
        <v>0</v>
      </c>
      <c r="N5825" s="6"/>
      <c r="O5825" s="5" t="str">
        <f>$O$7</f>
        <v>2024-2025</v>
      </c>
      <c r="P5825" s="6"/>
      <c r="Q5825" s="5" t="str">
        <f>$Q$7</f>
        <v>APPROVED</v>
      </c>
    </row>
    <row r="5826" spans="1:17" ht="11.25" customHeight="1" x14ac:dyDescent="0.2">
      <c r="A5826" s="7"/>
      <c r="C5826" s="8" t="s">
        <v>12</v>
      </c>
      <c r="D5826" s="5"/>
      <c r="E5826" s="8" t="s">
        <v>12</v>
      </c>
      <c r="F5826" s="5"/>
      <c r="G5826" s="8" t="s">
        <v>12</v>
      </c>
      <c r="H5826" s="5"/>
      <c r="I5826" s="8" t="s">
        <v>13</v>
      </c>
      <c r="J5826" s="5"/>
      <c r="K5826" s="8" t="s">
        <v>13</v>
      </c>
      <c r="L5826" s="6"/>
      <c r="M5826" s="8" t="str">
        <f>$M$8</f>
        <v>BASE</v>
      </c>
      <c r="N5826" s="6"/>
      <c r="O5826" s="8" t="str">
        <f>$O$8</f>
        <v>SUPPLEMENTAL</v>
      </c>
      <c r="P5826" s="6"/>
      <c r="Q5826" s="8" t="str">
        <f>$Q$8</f>
        <v>BUDGET</v>
      </c>
    </row>
    <row r="5827" spans="1:17" ht="11.25" customHeight="1" x14ac:dyDescent="0.2"/>
    <row r="5828" spans="1:17" ht="11.25" customHeight="1" x14ac:dyDescent="0.2">
      <c r="A5828" s="3" t="s">
        <v>16</v>
      </c>
      <c r="L5828" s="9"/>
      <c r="N5828" s="9"/>
      <c r="P5828" s="9"/>
    </row>
    <row r="5829" spans="1:17" ht="11.25" customHeight="1" x14ac:dyDescent="0.2">
      <c r="A5829" s="3" t="s">
        <v>17</v>
      </c>
      <c r="C5829" s="2">
        <v>21283.08</v>
      </c>
      <c r="E5829" s="2">
        <f>+C5927</f>
        <v>18411.97</v>
      </c>
      <c r="G5829" s="2">
        <f>+E5927</f>
        <v>17346.260000000002</v>
      </c>
      <c r="I5829" s="2">
        <f>+G5927</f>
        <v>25787.640000000003</v>
      </c>
      <c r="K5829" s="2">
        <f>+I5829</f>
        <v>25787.640000000003</v>
      </c>
      <c r="L5829" s="9"/>
      <c r="M5829" s="9">
        <f>+K5927</f>
        <v>29287.64</v>
      </c>
      <c r="N5829" s="9"/>
      <c r="P5829" s="9"/>
      <c r="Q5829" s="2">
        <f>+M5829</f>
        <v>29287.64</v>
      </c>
    </row>
    <row r="5830" spans="1:17" ht="11.25" customHeight="1" x14ac:dyDescent="0.2">
      <c r="L5830" s="9"/>
      <c r="N5830" s="9"/>
      <c r="P5830" s="9"/>
    </row>
    <row r="5831" spans="1:17" ht="11.25" customHeight="1" x14ac:dyDescent="0.2">
      <c r="A5831" s="10" t="s">
        <v>18</v>
      </c>
      <c r="L5831" s="9"/>
      <c r="N5831" s="9"/>
      <c r="P5831" s="9"/>
    </row>
    <row r="5832" spans="1:17" ht="11.25" customHeight="1" x14ac:dyDescent="0.2">
      <c r="L5832" s="9"/>
      <c r="N5832" s="9"/>
      <c r="P5832" s="9"/>
    </row>
    <row r="5833" spans="1:17" ht="11.25" customHeight="1" x14ac:dyDescent="0.2">
      <c r="A5833" s="10" t="s">
        <v>1912</v>
      </c>
      <c r="L5833" s="9"/>
      <c r="N5833" s="9"/>
      <c r="P5833" s="9"/>
    </row>
    <row r="5834" spans="1:17" ht="11.25" customHeight="1" x14ac:dyDescent="0.2">
      <c r="A5834" s="3" t="s">
        <v>2155</v>
      </c>
      <c r="C5834" s="2">
        <v>375.71</v>
      </c>
      <c r="E5834" s="2">
        <v>292.5</v>
      </c>
      <c r="G5834" s="2">
        <v>3541.74</v>
      </c>
      <c r="I5834" s="2">
        <v>2000</v>
      </c>
      <c r="K5834" s="2">
        <v>2000</v>
      </c>
      <c r="L5834" s="9"/>
      <c r="M5834" s="2">
        <v>2500</v>
      </c>
      <c r="N5834" s="9"/>
      <c r="O5834" s="2">
        <v>0</v>
      </c>
      <c r="P5834" s="9"/>
      <c r="Q5834" s="2">
        <f>M5834+O5834</f>
        <v>2500</v>
      </c>
    </row>
    <row r="5835" spans="1:17" ht="11.25" customHeight="1" x14ac:dyDescent="0.2">
      <c r="A5835" s="3" t="s">
        <v>2156</v>
      </c>
      <c r="C5835" s="2">
        <v>250.41</v>
      </c>
      <c r="E5835" s="2">
        <v>195.01</v>
      </c>
      <c r="G5835" s="2">
        <v>2850.3</v>
      </c>
      <c r="I5835" s="2">
        <v>2000</v>
      </c>
      <c r="K5835" s="2">
        <v>2000</v>
      </c>
      <c r="L5835" s="9"/>
      <c r="M5835" s="2">
        <v>2500</v>
      </c>
      <c r="N5835" s="9"/>
      <c r="O5835" s="2">
        <v>0</v>
      </c>
      <c r="P5835" s="9"/>
      <c r="Q5835" s="2">
        <f>M5835+O5835</f>
        <v>2500</v>
      </c>
    </row>
    <row r="5836" spans="1:17" ht="11.25" customHeight="1" x14ac:dyDescent="0.2">
      <c r="A5836" s="3" t="s">
        <v>2157</v>
      </c>
      <c r="C5836" s="2">
        <v>1085.95</v>
      </c>
      <c r="E5836" s="2">
        <v>1112.45</v>
      </c>
      <c r="G5836" s="2">
        <v>1156.0999999999999</v>
      </c>
      <c r="I5836" s="2">
        <v>1000</v>
      </c>
      <c r="K5836" s="2">
        <v>3000</v>
      </c>
      <c r="L5836" s="9"/>
      <c r="M5836" s="2">
        <v>1000</v>
      </c>
      <c r="N5836" s="9"/>
      <c r="O5836" s="2">
        <v>0</v>
      </c>
      <c r="P5836" s="9"/>
      <c r="Q5836" s="2">
        <f>M5836+O5836</f>
        <v>1000</v>
      </c>
    </row>
    <row r="5837" spans="1:17" ht="11.25" customHeight="1" x14ac:dyDescent="0.2">
      <c r="A5837" s="3" t="s">
        <v>2158</v>
      </c>
      <c r="C5837" s="12">
        <v>0</v>
      </c>
      <c r="E5837" s="12">
        <v>9868.6</v>
      </c>
      <c r="G5837" s="12">
        <v>1557</v>
      </c>
      <c r="I5837" s="12">
        <v>0</v>
      </c>
      <c r="K5837" s="12">
        <v>0</v>
      </c>
      <c r="L5837" s="9"/>
      <c r="M5837" s="12">
        <v>0</v>
      </c>
      <c r="N5837" s="9"/>
      <c r="O5837" s="12">
        <v>0</v>
      </c>
      <c r="P5837" s="9"/>
      <c r="Q5837" s="12">
        <f>M5837+O5837</f>
        <v>0</v>
      </c>
    </row>
    <row r="5838" spans="1:17" ht="11.25" customHeight="1" x14ac:dyDescent="0.2">
      <c r="A5838" s="3" t="s">
        <v>1174</v>
      </c>
      <c r="C5838" s="2">
        <f>SUM(C5834:C5837)</f>
        <v>1712.0700000000002</v>
      </c>
      <c r="E5838" s="2">
        <f>SUM(E5834:E5837)</f>
        <v>11468.560000000001</v>
      </c>
      <c r="G5838" s="2">
        <f>SUM(G5834:G5837)</f>
        <v>9105.14</v>
      </c>
      <c r="I5838" s="2">
        <f>SUM(I5834:I5837)</f>
        <v>5000</v>
      </c>
      <c r="K5838" s="2">
        <f>SUM(K5834:K5837)</f>
        <v>7000</v>
      </c>
      <c r="L5838" s="9"/>
      <c r="M5838" s="2">
        <f>SUM(M5834:M5837)</f>
        <v>6000</v>
      </c>
      <c r="N5838" s="9"/>
      <c r="O5838" s="2">
        <f>SUM(O5834:O5837)</f>
        <v>0</v>
      </c>
      <c r="P5838" s="9"/>
      <c r="Q5838" s="2">
        <f>SUM(Q5834:Q5837)</f>
        <v>6000</v>
      </c>
    </row>
    <row r="5839" spans="1:17" ht="11.25" customHeight="1" x14ac:dyDescent="0.2">
      <c r="L5839" s="9"/>
      <c r="N5839" s="9"/>
      <c r="P5839" s="9"/>
    </row>
    <row r="5840" spans="1:17" ht="11.85" customHeight="1" x14ac:dyDescent="0.2">
      <c r="A5840" s="10" t="s">
        <v>2159</v>
      </c>
      <c r="L5840" s="9"/>
      <c r="N5840" s="9"/>
      <c r="P5840" s="9"/>
    </row>
    <row r="5841" spans="1:17" ht="11.85" customHeight="1" x14ac:dyDescent="0.2">
      <c r="A5841" s="3" t="s">
        <v>2160</v>
      </c>
      <c r="C5841" s="12">
        <v>91.52</v>
      </c>
      <c r="E5841" s="12">
        <v>208.83</v>
      </c>
      <c r="G5841" s="12">
        <v>859.27</v>
      </c>
      <c r="I5841" s="12">
        <v>0</v>
      </c>
      <c r="K5841" s="12">
        <v>0</v>
      </c>
      <c r="L5841" s="9"/>
      <c r="M5841" s="12">
        <v>0</v>
      </c>
      <c r="N5841" s="9"/>
      <c r="O5841" s="12">
        <v>0</v>
      </c>
      <c r="P5841" s="9"/>
      <c r="Q5841" s="12">
        <f>+M5841+O5841</f>
        <v>0</v>
      </c>
    </row>
    <row r="5842" spans="1:17" ht="11.85" customHeight="1" x14ac:dyDescent="0.2">
      <c r="A5842" s="3" t="s">
        <v>2161</v>
      </c>
      <c r="C5842" s="2">
        <f>SUM(C5841:C5841)</f>
        <v>91.52</v>
      </c>
      <c r="E5842" s="2">
        <f>SUM(E5841:E5841)</f>
        <v>208.83</v>
      </c>
      <c r="G5842" s="2">
        <f>SUM(G5841:G5841)</f>
        <v>859.27</v>
      </c>
      <c r="I5842" s="2">
        <f>SUM(I5841:I5841)</f>
        <v>0</v>
      </c>
      <c r="K5842" s="2">
        <f>SUM(K5841:K5841)</f>
        <v>0</v>
      </c>
      <c r="L5842" s="9"/>
      <c r="M5842" s="2">
        <f>SUM(M5841:M5841)</f>
        <v>0</v>
      </c>
      <c r="N5842" s="9"/>
      <c r="O5842" s="2">
        <f>SUM(O5841:O5841)</f>
        <v>0</v>
      </c>
      <c r="P5842" s="9"/>
      <c r="Q5842" s="2">
        <f>SUM(Q5841:Q5841)</f>
        <v>0</v>
      </c>
    </row>
    <row r="5843" spans="1:17" ht="11.25" customHeight="1" x14ac:dyDescent="0.2">
      <c r="L5843" s="9"/>
      <c r="N5843" s="9"/>
      <c r="P5843" s="9"/>
    </row>
    <row r="5844" spans="1:17" ht="11.85" customHeight="1" x14ac:dyDescent="0.2">
      <c r="A5844" s="10" t="s">
        <v>244</v>
      </c>
      <c r="L5844" s="9"/>
      <c r="N5844" s="9"/>
      <c r="P5844" s="9"/>
    </row>
    <row r="5845" spans="1:17" ht="11.85" customHeight="1" x14ac:dyDescent="0.2">
      <c r="A5845" s="3" t="s">
        <v>2162</v>
      </c>
      <c r="C5845" s="12">
        <v>0</v>
      </c>
      <c r="E5845" s="12">
        <v>0</v>
      </c>
      <c r="G5845" s="12">
        <v>0</v>
      </c>
      <c r="I5845" s="12">
        <v>0</v>
      </c>
      <c r="K5845" s="12">
        <v>0</v>
      </c>
      <c r="L5845" s="9"/>
      <c r="M5845" s="12">
        <v>0</v>
      </c>
      <c r="N5845" s="9"/>
      <c r="O5845" s="12">
        <v>0</v>
      </c>
      <c r="P5845" s="9"/>
      <c r="Q5845" s="12">
        <f>+M5845+O5845</f>
        <v>0</v>
      </c>
    </row>
    <row r="5846" spans="1:17" ht="11.85" customHeight="1" x14ac:dyDescent="0.2">
      <c r="A5846" s="3" t="s">
        <v>258</v>
      </c>
      <c r="C5846" s="2">
        <f>SUM(C5845:C5845)</f>
        <v>0</v>
      </c>
      <c r="E5846" s="2">
        <f>SUM(E5845:E5845)</f>
        <v>0</v>
      </c>
      <c r="G5846" s="2">
        <f>SUM(G5845:G5845)</f>
        <v>0</v>
      </c>
      <c r="I5846" s="2">
        <f>SUM(I5845:I5845)</f>
        <v>0</v>
      </c>
      <c r="K5846" s="2">
        <f>SUM(K5845:K5845)</f>
        <v>0</v>
      </c>
      <c r="L5846" s="9"/>
      <c r="M5846" s="2">
        <f>SUM(M5845:M5845)</f>
        <v>0</v>
      </c>
      <c r="N5846" s="9"/>
      <c r="O5846" s="2">
        <f>SUM(O5845:O5845)</f>
        <v>0</v>
      </c>
      <c r="P5846" s="9"/>
      <c r="Q5846" s="2">
        <f>SUM(Q5845:Q5845)</f>
        <v>0</v>
      </c>
    </row>
    <row r="5847" spans="1:17" ht="11.85" customHeight="1" x14ac:dyDescent="0.2"/>
    <row r="5848" spans="1:17" ht="11.25" customHeight="1" thickBot="1" x14ac:dyDescent="0.25">
      <c r="A5848" s="3" t="s">
        <v>270</v>
      </c>
      <c r="C5848" s="25">
        <f>C5838+C5846+C5842</f>
        <v>1803.5900000000001</v>
      </c>
      <c r="E5848" s="25">
        <f>E5838+E5846+E5842</f>
        <v>11677.390000000001</v>
      </c>
      <c r="G5848" s="25">
        <f>G5838+G5846+G5842</f>
        <v>9964.41</v>
      </c>
      <c r="I5848" s="25">
        <f>I5838+I5846+I5842</f>
        <v>5000</v>
      </c>
      <c r="K5848" s="25">
        <f>K5838+K5846+K5842</f>
        <v>7000</v>
      </c>
      <c r="L5848" s="9"/>
      <c r="M5848" s="25">
        <f>M5838+M5846+M5842</f>
        <v>6000</v>
      </c>
      <c r="N5848" s="9"/>
      <c r="O5848" s="25">
        <f>O5838+O5846+O5842</f>
        <v>0</v>
      </c>
      <c r="P5848" s="9"/>
      <c r="Q5848" s="25">
        <f>Q5838+Q5846+Q5842</f>
        <v>6000</v>
      </c>
    </row>
    <row r="5849" spans="1:17" ht="11.25" customHeight="1" thickTop="1" x14ac:dyDescent="0.2">
      <c r="L5849" s="9"/>
      <c r="N5849" s="9"/>
      <c r="P5849" s="9"/>
    </row>
    <row r="5850" spans="1:17" ht="11.25" customHeight="1" x14ac:dyDescent="0.2">
      <c r="L5850" s="9"/>
      <c r="N5850" s="9"/>
      <c r="P5850" s="9"/>
    </row>
    <row r="5851" spans="1:17" ht="11.25" customHeight="1" x14ac:dyDescent="0.2">
      <c r="A5851" s="3" t="s">
        <v>271</v>
      </c>
      <c r="C5851" s="2">
        <f>C5829+C5848</f>
        <v>23086.670000000002</v>
      </c>
      <c r="E5851" s="2">
        <f>E5829+E5848</f>
        <v>30089.360000000001</v>
      </c>
      <c r="G5851" s="2">
        <f>G5829+G5848</f>
        <v>27310.670000000002</v>
      </c>
      <c r="I5851" s="2">
        <f>I5829+I5848</f>
        <v>30787.640000000003</v>
      </c>
      <c r="K5851" s="2">
        <f>K5829+K5848</f>
        <v>32787.64</v>
      </c>
      <c r="L5851" s="9"/>
      <c r="M5851" s="2">
        <f>M5829+M5848</f>
        <v>35287.64</v>
      </c>
      <c r="N5851" s="9"/>
      <c r="P5851" s="9"/>
      <c r="Q5851" s="2">
        <f>Q5829+Q5848</f>
        <v>35287.64</v>
      </c>
    </row>
    <row r="5852" spans="1:17" ht="11.25" customHeight="1" x14ac:dyDescent="0.2"/>
    <row r="5853" spans="1:17" ht="11.85" customHeight="1" x14ac:dyDescent="0.2"/>
    <row r="5854" spans="1:17" ht="11.85" customHeight="1" x14ac:dyDescent="0.2"/>
    <row r="5855" spans="1:17" ht="11.85" customHeight="1" x14ac:dyDescent="0.2"/>
    <row r="5856" spans="1:17" ht="11.85" customHeight="1" x14ac:dyDescent="0.2"/>
    <row r="5857" spans="1:5" ht="11.85" customHeight="1" x14ac:dyDescent="0.2"/>
    <row r="5858" spans="1:5" ht="11.85" customHeight="1" x14ac:dyDescent="0.2"/>
    <row r="5859" spans="1:5" ht="11.85" customHeight="1" x14ac:dyDescent="0.2"/>
    <row r="5860" spans="1:5" ht="11.85" customHeight="1" x14ac:dyDescent="0.2"/>
    <row r="5861" spans="1:5" ht="11.85" customHeight="1" x14ac:dyDescent="0.2"/>
    <row r="5862" spans="1:5" ht="11.85" customHeight="1" x14ac:dyDescent="0.2"/>
    <row r="5863" spans="1:5" ht="11.85" customHeight="1" x14ac:dyDescent="0.2"/>
    <row r="5864" spans="1:5" ht="11.85" customHeight="1" x14ac:dyDescent="0.2"/>
    <row r="5865" spans="1:5" ht="11.85" customHeight="1" x14ac:dyDescent="0.2"/>
    <row r="5866" spans="1:5" ht="11.85" customHeight="1" x14ac:dyDescent="0.2"/>
    <row r="5867" spans="1:5" ht="11.85" customHeight="1" x14ac:dyDescent="0.2"/>
    <row r="5868" spans="1:5" ht="11.85" customHeight="1" x14ac:dyDescent="0.2"/>
    <row r="5869" spans="1:5" ht="11.85" customHeight="1" x14ac:dyDescent="0.2">
      <c r="A5869" s="1"/>
      <c r="B5869" s="1"/>
      <c r="E5869" s="2" t="str">
        <f>$E$1</f>
        <v>CITY OF BRADY</v>
      </c>
    </row>
    <row r="5870" spans="1:5" ht="11.85" customHeight="1" x14ac:dyDescent="0.2">
      <c r="E5870" s="2" t="str">
        <f>$E$2</f>
        <v>BUDGET REPORT</v>
      </c>
    </row>
    <row r="5871" spans="1:5" ht="11.85" customHeight="1" x14ac:dyDescent="0.2">
      <c r="E5871" s="2" t="str">
        <f>$E$3</f>
        <v>FISCAL YEAR 2024 - 2025</v>
      </c>
    </row>
    <row r="5872" spans="1:5" ht="11.85" customHeight="1" x14ac:dyDescent="0.2">
      <c r="A5872" s="3" t="s">
        <v>2154</v>
      </c>
    </row>
    <row r="5873" spans="1:21" ht="11.85" customHeight="1" x14ac:dyDescent="0.2">
      <c r="A5873" s="3" t="s">
        <v>2163</v>
      </c>
    </row>
    <row r="5874" spans="1:21" ht="11.85" customHeight="1" x14ac:dyDescent="0.2">
      <c r="I5874" s="53" t="str">
        <f>$I$6</f>
        <v>(----- 2023-2024------)</v>
      </c>
      <c r="J5874" s="53"/>
      <c r="K5874" s="53"/>
      <c r="L5874" s="6"/>
      <c r="M5874" s="54" t="str">
        <f>$M$6</f>
        <v>2024-2025</v>
      </c>
      <c r="N5874" s="54"/>
      <c r="O5874" s="54"/>
      <c r="P5874" s="54"/>
      <c r="Q5874" s="54"/>
    </row>
    <row r="5875" spans="1:21" ht="11.85" customHeight="1" x14ac:dyDescent="0.2">
      <c r="C5875" s="5" t="str">
        <f>$C$7</f>
        <v>2020-2021</v>
      </c>
      <c r="D5875" s="5"/>
      <c r="E5875" s="5" t="str">
        <f>$E$7</f>
        <v>2021-2022</v>
      </c>
      <c r="F5875" s="5"/>
      <c r="G5875" s="5" t="str">
        <f>$G$7</f>
        <v>2022-2023</v>
      </c>
      <c r="H5875" s="5"/>
      <c r="I5875" s="5" t="s">
        <v>9</v>
      </c>
      <c r="J5875" s="5"/>
      <c r="K5875" s="5" t="str">
        <f>+$K$7</f>
        <v>PROJECTED</v>
      </c>
      <c r="L5875" s="6"/>
      <c r="M5875" s="5">
        <f>$M$7</f>
        <v>0</v>
      </c>
      <c r="N5875" s="6"/>
      <c r="O5875" s="5" t="str">
        <f>$O$7</f>
        <v>2024-2025</v>
      </c>
      <c r="P5875" s="6"/>
      <c r="Q5875" s="5" t="str">
        <f>$Q$7</f>
        <v>APPROVED</v>
      </c>
    </row>
    <row r="5876" spans="1:21" ht="11.85" customHeight="1" x14ac:dyDescent="0.2">
      <c r="A5876" s="7" t="s">
        <v>273</v>
      </c>
      <c r="C5876" s="8" t="s">
        <v>12</v>
      </c>
      <c r="D5876" s="5"/>
      <c r="E5876" s="8" t="s">
        <v>12</v>
      </c>
      <c r="F5876" s="5"/>
      <c r="G5876" s="8" t="s">
        <v>12</v>
      </c>
      <c r="H5876" s="5"/>
      <c r="I5876" s="8" t="s">
        <v>13</v>
      </c>
      <c r="J5876" s="5"/>
      <c r="K5876" s="8" t="s">
        <v>13</v>
      </c>
      <c r="L5876" s="6"/>
      <c r="M5876" s="8" t="str">
        <f>$M$8</f>
        <v>BASE</v>
      </c>
      <c r="N5876" s="6"/>
      <c r="O5876" s="8" t="str">
        <f>$O$8</f>
        <v>SUPPLEMENTAL</v>
      </c>
      <c r="P5876" s="6"/>
      <c r="Q5876" s="8" t="str">
        <f>$Q$8</f>
        <v>BUDGET</v>
      </c>
    </row>
    <row r="5877" spans="1:21" ht="11.85" customHeight="1" x14ac:dyDescent="0.2"/>
    <row r="5878" spans="1:21" ht="11.85" hidden="1" customHeight="1" x14ac:dyDescent="0.2">
      <c r="A5878" s="10" t="s">
        <v>274</v>
      </c>
    </row>
    <row r="5879" spans="1:21" ht="11.85" hidden="1" customHeight="1" x14ac:dyDescent="0.2">
      <c r="A5879" s="3" t="s">
        <v>2131</v>
      </c>
      <c r="C5879" s="2">
        <v>0</v>
      </c>
      <c r="E5879" s="2">
        <v>0</v>
      </c>
      <c r="G5879" s="2">
        <v>0</v>
      </c>
      <c r="I5879" s="2">
        <v>0</v>
      </c>
      <c r="K5879" s="2">
        <v>0</v>
      </c>
      <c r="L5879" s="9"/>
      <c r="M5879" s="2">
        <v>0</v>
      </c>
      <c r="N5879" s="9"/>
      <c r="O5879" s="2">
        <v>0</v>
      </c>
      <c r="P5879" s="9"/>
      <c r="Q5879" s="2">
        <f>M5879+O5879</f>
        <v>0</v>
      </c>
      <c r="T5879" s="11"/>
    </row>
    <row r="5880" spans="1:21" ht="11.85" hidden="1" customHeight="1" x14ac:dyDescent="0.2">
      <c r="A5880" s="3" t="s">
        <v>2132</v>
      </c>
      <c r="C5880" s="2">
        <v>0</v>
      </c>
      <c r="E5880" s="2">
        <v>0</v>
      </c>
      <c r="G5880" s="2">
        <v>0</v>
      </c>
      <c r="I5880" s="2">
        <v>0</v>
      </c>
      <c r="K5880" s="2">
        <v>0</v>
      </c>
      <c r="L5880" s="9"/>
      <c r="M5880" s="2">
        <v>0</v>
      </c>
      <c r="N5880" s="9"/>
      <c r="O5880" s="2">
        <v>0</v>
      </c>
      <c r="P5880" s="9"/>
      <c r="Q5880" s="2">
        <f>M5880+O5880</f>
        <v>0</v>
      </c>
      <c r="T5880" s="11"/>
    </row>
    <row r="5881" spans="1:21" ht="11.85" hidden="1" customHeight="1" x14ac:dyDescent="0.2">
      <c r="A5881" s="3" t="s">
        <v>2135</v>
      </c>
      <c r="C5881" s="2">
        <v>0</v>
      </c>
      <c r="E5881" s="2">
        <v>0</v>
      </c>
      <c r="G5881" s="2">
        <v>0</v>
      </c>
      <c r="I5881" s="2">
        <v>0</v>
      </c>
      <c r="K5881" s="2">
        <v>0</v>
      </c>
      <c r="L5881" s="9"/>
      <c r="M5881" s="2">
        <v>0</v>
      </c>
      <c r="N5881" s="9"/>
      <c r="O5881" s="2">
        <v>0</v>
      </c>
      <c r="P5881" s="9"/>
      <c r="Q5881" s="2">
        <f>M5881+O5881</f>
        <v>0</v>
      </c>
      <c r="T5881" s="11"/>
    </row>
    <row r="5882" spans="1:21" ht="11.85" hidden="1" customHeight="1" x14ac:dyDescent="0.2">
      <c r="A5882" s="3" t="s">
        <v>2136</v>
      </c>
      <c r="C5882" s="2">
        <v>0</v>
      </c>
      <c r="E5882" s="2">
        <v>0</v>
      </c>
      <c r="G5882" s="2">
        <v>0</v>
      </c>
      <c r="I5882" s="2">
        <v>0</v>
      </c>
      <c r="K5882" s="2">
        <v>0</v>
      </c>
      <c r="L5882" s="9"/>
      <c r="M5882" s="2">
        <v>0</v>
      </c>
      <c r="N5882" s="9"/>
      <c r="O5882" s="2">
        <v>0</v>
      </c>
      <c r="P5882" s="9"/>
      <c r="Q5882" s="2">
        <f>M5882+O5882</f>
        <v>0</v>
      </c>
      <c r="T5882" s="11"/>
    </row>
    <row r="5883" spans="1:21" ht="11.85" hidden="1" customHeight="1" x14ac:dyDescent="0.2">
      <c r="A5883" s="3" t="s">
        <v>2137</v>
      </c>
      <c r="C5883" s="12">
        <v>0</v>
      </c>
      <c r="E5883" s="12">
        <v>0</v>
      </c>
      <c r="G5883" s="12">
        <v>0</v>
      </c>
      <c r="I5883" s="12">
        <v>0</v>
      </c>
      <c r="K5883" s="12">
        <v>0</v>
      </c>
      <c r="L5883" s="9"/>
      <c r="M5883" s="12">
        <v>0</v>
      </c>
      <c r="N5883" s="9"/>
      <c r="O5883" s="12">
        <v>0</v>
      </c>
      <c r="P5883" s="9"/>
      <c r="Q5883" s="12">
        <f>M5883+O5883</f>
        <v>0</v>
      </c>
      <c r="T5883" s="11"/>
    </row>
    <row r="5884" spans="1:21" ht="11.85" hidden="1" customHeight="1" x14ac:dyDescent="0.2">
      <c r="A5884" s="3" t="s">
        <v>285</v>
      </c>
      <c r="C5884" s="2">
        <f>SUM(C5879:C5883)</f>
        <v>0</v>
      </c>
      <c r="E5884" s="2">
        <f>SUM(E5879:E5883)</f>
        <v>0</v>
      </c>
      <c r="G5884" s="2">
        <f>SUM(G5879:G5883)</f>
        <v>0</v>
      </c>
      <c r="I5884" s="2">
        <f>SUM(I5879:I5883)</f>
        <v>0</v>
      </c>
      <c r="K5884" s="2">
        <f>SUM(K5879:K5883)</f>
        <v>0</v>
      </c>
      <c r="L5884" s="9"/>
      <c r="M5884" s="2">
        <f>SUM(M5879:M5883)</f>
        <v>0</v>
      </c>
      <c r="N5884" s="9"/>
      <c r="O5884" s="2">
        <f>SUM(O5879:O5883)</f>
        <v>0</v>
      </c>
      <c r="P5884" s="9"/>
      <c r="Q5884" s="2">
        <f>SUM(Q5879:Q5883)</f>
        <v>0</v>
      </c>
      <c r="R5884" s="9"/>
      <c r="U5884" s="9"/>
    </row>
    <row r="5885" spans="1:21" ht="11.85" hidden="1" customHeight="1" x14ac:dyDescent="0.2"/>
    <row r="5886" spans="1:21" ht="11.85" hidden="1" customHeight="1" x14ac:dyDescent="0.2">
      <c r="A5886" s="10" t="s">
        <v>286</v>
      </c>
      <c r="L5886" s="9"/>
      <c r="N5886" s="9"/>
      <c r="P5886" s="9"/>
    </row>
    <row r="5887" spans="1:21" ht="11.85" hidden="1" customHeight="1" x14ac:dyDescent="0.2">
      <c r="A5887" s="3" t="s">
        <v>2138</v>
      </c>
      <c r="C5887" s="12">
        <v>0</v>
      </c>
      <c r="E5887" s="12">
        <v>0</v>
      </c>
      <c r="G5887" s="12">
        <v>0</v>
      </c>
      <c r="I5887" s="12">
        <v>0</v>
      </c>
      <c r="K5887" s="12">
        <v>0</v>
      </c>
      <c r="L5887" s="9"/>
      <c r="M5887" s="12">
        <v>0</v>
      </c>
      <c r="N5887" s="9"/>
      <c r="O5887" s="12">
        <v>0</v>
      </c>
      <c r="P5887" s="9"/>
      <c r="Q5887" s="12">
        <f>+M5887+O5887</f>
        <v>0</v>
      </c>
    </row>
    <row r="5888" spans="1:21" ht="11.85" hidden="1" customHeight="1" x14ac:dyDescent="0.2">
      <c r="A5888" s="3" t="s">
        <v>304</v>
      </c>
      <c r="C5888" s="2">
        <f>+C5887</f>
        <v>0</v>
      </c>
      <c r="E5888" s="2">
        <f>+E5887</f>
        <v>0</v>
      </c>
      <c r="G5888" s="2">
        <f>+G5887</f>
        <v>0</v>
      </c>
      <c r="I5888" s="2">
        <f>+I5887</f>
        <v>0</v>
      </c>
      <c r="K5888" s="2">
        <f>+K5887</f>
        <v>0</v>
      </c>
      <c r="L5888" s="9"/>
      <c r="M5888" s="2">
        <f>+M5887</f>
        <v>0</v>
      </c>
      <c r="N5888" s="9"/>
      <c r="O5888" s="2">
        <f>+O5887</f>
        <v>0</v>
      </c>
      <c r="P5888" s="9"/>
      <c r="Q5888" s="2">
        <f>+Q5887</f>
        <v>0</v>
      </c>
    </row>
    <row r="5889" spans="1:22" ht="11.85" hidden="1" customHeight="1" x14ac:dyDescent="0.2"/>
    <row r="5890" spans="1:22" ht="11.85" customHeight="1" x14ac:dyDescent="0.2">
      <c r="A5890" s="10" t="s">
        <v>305</v>
      </c>
      <c r="L5890" s="9"/>
      <c r="N5890" s="9"/>
      <c r="P5890" s="9"/>
    </row>
    <row r="5891" spans="1:22" ht="11.85" customHeight="1" x14ac:dyDescent="0.2">
      <c r="A5891" s="3" t="s">
        <v>2164</v>
      </c>
      <c r="C5891" s="2">
        <v>0</v>
      </c>
      <c r="E5891" s="2">
        <v>0</v>
      </c>
      <c r="G5891" s="2">
        <v>0</v>
      </c>
      <c r="I5891" s="2">
        <v>5750</v>
      </c>
      <c r="K5891" s="2">
        <v>0</v>
      </c>
      <c r="L5891" s="9"/>
      <c r="M5891" s="2">
        <v>9500</v>
      </c>
      <c r="N5891" s="9"/>
      <c r="O5891" s="2">
        <v>0</v>
      </c>
      <c r="P5891" s="9"/>
      <c r="Q5891" s="2">
        <f>+M5891+O5891</f>
        <v>9500</v>
      </c>
    </row>
    <row r="5892" spans="1:22" ht="11.85" customHeight="1" x14ac:dyDescent="0.2">
      <c r="A5892" s="3" t="s">
        <v>2165</v>
      </c>
      <c r="C5892" s="2">
        <v>0</v>
      </c>
      <c r="E5892" s="2">
        <v>0</v>
      </c>
      <c r="G5892" s="2">
        <v>1523.03</v>
      </c>
      <c r="I5892" s="2">
        <v>3350</v>
      </c>
      <c r="K5892" s="2">
        <v>0</v>
      </c>
      <c r="L5892" s="9"/>
      <c r="M5892" s="2">
        <v>4200</v>
      </c>
      <c r="N5892" s="9"/>
      <c r="O5892" s="2">
        <v>0</v>
      </c>
      <c r="P5892" s="9"/>
      <c r="Q5892" s="2">
        <f>+M5892+O5892</f>
        <v>4200</v>
      </c>
      <c r="T5892" s="11"/>
      <c r="V5892" s="27"/>
    </row>
    <row r="5893" spans="1:22" ht="11.85" customHeight="1" x14ac:dyDescent="0.2">
      <c r="A5893" s="3" t="s">
        <v>2166</v>
      </c>
      <c r="C5893" s="2">
        <v>4674.7</v>
      </c>
      <c r="E5893" s="2">
        <v>3500</v>
      </c>
      <c r="G5893" s="2">
        <v>0</v>
      </c>
      <c r="I5893" s="2">
        <v>5700</v>
      </c>
      <c r="K5893" s="2">
        <v>3500</v>
      </c>
      <c r="L5893" s="9"/>
      <c r="M5893" s="2">
        <v>5300</v>
      </c>
      <c r="N5893" s="9"/>
      <c r="O5893" s="2">
        <v>0</v>
      </c>
      <c r="P5893" s="9"/>
      <c r="Q5893" s="2">
        <f>+M5893+O5893</f>
        <v>5300</v>
      </c>
    </row>
    <row r="5894" spans="1:22" ht="11.85" customHeight="1" x14ac:dyDescent="0.2">
      <c r="A5894" s="3" t="s">
        <v>2167</v>
      </c>
      <c r="C5894" s="12">
        <v>0</v>
      </c>
      <c r="E5894" s="12">
        <v>9243.1</v>
      </c>
      <c r="G5894" s="12">
        <v>0</v>
      </c>
      <c r="I5894" s="12">
        <v>2700</v>
      </c>
      <c r="K5894" s="12">
        <v>0</v>
      </c>
      <c r="L5894" s="9"/>
      <c r="M5894" s="12">
        <v>4500</v>
      </c>
      <c r="N5894" s="9"/>
      <c r="O5894" s="12">
        <v>0</v>
      </c>
      <c r="P5894" s="9"/>
      <c r="Q5894" s="12">
        <f>+M5894+O5894</f>
        <v>4500</v>
      </c>
    </row>
    <row r="5895" spans="1:22" ht="11.85" customHeight="1" x14ac:dyDescent="0.2">
      <c r="A5895" s="3" t="s">
        <v>328</v>
      </c>
      <c r="C5895" s="2">
        <f>SUM(C5891:C5894)</f>
        <v>4674.7</v>
      </c>
      <c r="E5895" s="2">
        <f>SUM(E5891:E5894)</f>
        <v>12743.1</v>
      </c>
      <c r="G5895" s="2">
        <f>SUM(G5891:G5894)</f>
        <v>1523.03</v>
      </c>
      <c r="I5895" s="2">
        <f>SUM(I5891:I5894)</f>
        <v>17500</v>
      </c>
      <c r="K5895" s="2">
        <f>SUM(K5891:K5894)</f>
        <v>3500</v>
      </c>
      <c r="L5895" s="9"/>
      <c r="M5895" s="2">
        <f>SUM(M5891:M5894)</f>
        <v>23500</v>
      </c>
      <c r="N5895" s="9"/>
      <c r="O5895" s="2">
        <f>SUM(O5891:O5894)</f>
        <v>0</v>
      </c>
      <c r="P5895" s="9"/>
      <c r="Q5895" s="2">
        <f>SUM(Q5891:Q5894)</f>
        <v>23500</v>
      </c>
    </row>
    <row r="5896" spans="1:22" ht="11.85" customHeight="1" x14ac:dyDescent="0.2">
      <c r="L5896" s="9"/>
      <c r="N5896" s="9"/>
      <c r="P5896" s="9"/>
    </row>
    <row r="5897" spans="1:22" ht="11.85" customHeight="1" x14ac:dyDescent="0.2">
      <c r="A5897" s="3" t="s">
        <v>2168</v>
      </c>
      <c r="C5897" s="2">
        <v>0</v>
      </c>
      <c r="E5897" s="2">
        <v>0</v>
      </c>
      <c r="G5897" s="2">
        <v>0</v>
      </c>
      <c r="I5897" s="2">
        <v>0</v>
      </c>
      <c r="K5897" s="2">
        <v>0</v>
      </c>
      <c r="L5897" s="9"/>
      <c r="M5897" s="2">
        <v>0</v>
      </c>
      <c r="N5897" s="9"/>
      <c r="O5897" s="2">
        <v>0</v>
      </c>
      <c r="P5897" s="9"/>
      <c r="Q5897" s="2">
        <f>M5897+O5897</f>
        <v>0</v>
      </c>
      <c r="T5897" s="11"/>
    </row>
    <row r="5898" spans="1:22" ht="11.85" customHeight="1" x14ac:dyDescent="0.2">
      <c r="A5898" s="3" t="s">
        <v>2169</v>
      </c>
      <c r="C5898" s="12">
        <v>0</v>
      </c>
      <c r="E5898" s="12">
        <v>0</v>
      </c>
      <c r="G5898" s="12">
        <v>0</v>
      </c>
      <c r="I5898" s="12">
        <v>0</v>
      </c>
      <c r="K5898" s="12">
        <v>0</v>
      </c>
      <c r="L5898" s="9"/>
      <c r="M5898" s="12">
        <v>0</v>
      </c>
      <c r="N5898" s="9"/>
      <c r="O5898" s="12">
        <v>0</v>
      </c>
      <c r="P5898" s="9"/>
      <c r="Q5898" s="12">
        <f>M5898+O5898</f>
        <v>0</v>
      </c>
      <c r="T5898" s="11"/>
    </row>
    <row r="5899" spans="1:22" ht="11.85" customHeight="1" x14ac:dyDescent="0.2">
      <c r="A5899" s="3" t="s">
        <v>331</v>
      </c>
      <c r="C5899" s="2">
        <f>SUM(C5897:C5898)</f>
        <v>0</v>
      </c>
      <c r="E5899" s="2">
        <f>SUM(E5897:E5898)</f>
        <v>0</v>
      </c>
      <c r="G5899" s="2">
        <f>SUM(G5897:G5898)</f>
        <v>0</v>
      </c>
      <c r="I5899" s="2">
        <f>SUM(I5897:I5898)</f>
        <v>0</v>
      </c>
      <c r="K5899" s="2">
        <f>SUM(K5897:K5898)</f>
        <v>0</v>
      </c>
      <c r="L5899" s="9"/>
      <c r="M5899" s="2">
        <f>SUM(M5897:M5898)</f>
        <v>0</v>
      </c>
      <c r="N5899" s="9"/>
      <c r="O5899" s="2">
        <f>SUM(O5897:O5898)</f>
        <v>0</v>
      </c>
      <c r="P5899" s="9"/>
      <c r="Q5899" s="2">
        <f>SUM(Q5897:Q5898)</f>
        <v>0</v>
      </c>
      <c r="T5899" s="11"/>
    </row>
    <row r="5900" spans="1:22" ht="11.85" customHeight="1" x14ac:dyDescent="0.2">
      <c r="L5900" s="9"/>
      <c r="N5900" s="9"/>
      <c r="P5900" s="9"/>
    </row>
    <row r="5901" spans="1:22" ht="11.85" hidden="1" customHeight="1" x14ac:dyDescent="0.2">
      <c r="A5901" s="10" t="s">
        <v>332</v>
      </c>
      <c r="L5901" s="9"/>
      <c r="N5901" s="9"/>
      <c r="P5901" s="9"/>
    </row>
    <row r="5902" spans="1:22" ht="11.85" hidden="1" customHeight="1" x14ac:dyDescent="0.2">
      <c r="A5902" s="3" t="s">
        <v>1136</v>
      </c>
      <c r="C5902" s="12">
        <v>0</v>
      </c>
      <c r="E5902" s="12">
        <v>0</v>
      </c>
      <c r="G5902" s="12">
        <v>0</v>
      </c>
      <c r="I5902" s="12">
        <v>0</v>
      </c>
      <c r="K5902" s="12">
        <v>0</v>
      </c>
      <c r="L5902" s="9"/>
      <c r="M5902" s="12">
        <v>0</v>
      </c>
      <c r="N5902" s="9"/>
      <c r="O5902" s="12">
        <v>0</v>
      </c>
      <c r="P5902" s="9"/>
      <c r="Q5902" s="12">
        <f>M5902+O5902</f>
        <v>0</v>
      </c>
    </row>
    <row r="5903" spans="1:22" ht="11.85" hidden="1" customHeight="1" x14ac:dyDescent="0.2">
      <c r="A5903" s="3" t="s">
        <v>336</v>
      </c>
      <c r="C5903" s="2">
        <f>SUM(C5902:C5902)</f>
        <v>0</v>
      </c>
      <c r="E5903" s="2">
        <f>SUM(E5902:E5902)</f>
        <v>0</v>
      </c>
      <c r="G5903" s="2">
        <f>SUM(G5902:G5902)</f>
        <v>0</v>
      </c>
      <c r="I5903" s="2">
        <f>SUM(I5902:I5902)</f>
        <v>0</v>
      </c>
      <c r="K5903" s="2">
        <f>SUM(K5902:K5902)</f>
        <v>0</v>
      </c>
      <c r="L5903" s="9"/>
      <c r="M5903" s="2">
        <f>SUM(M5902:M5902)</f>
        <v>0</v>
      </c>
      <c r="N5903" s="9"/>
      <c r="O5903" s="2">
        <f>SUM(O5902:O5902)</f>
        <v>0</v>
      </c>
      <c r="P5903" s="9"/>
      <c r="Q5903" s="2">
        <f>SUM(Q5902:Q5902)</f>
        <v>0</v>
      </c>
      <c r="V5903" s="38"/>
    </row>
    <row r="5904" spans="1:22" ht="11.85" hidden="1" customHeight="1" x14ac:dyDescent="0.2">
      <c r="L5904" s="9"/>
      <c r="N5904" s="9"/>
      <c r="P5904" s="9"/>
      <c r="T5904" s="11"/>
    </row>
    <row r="5905" spans="1:21" ht="11.85" customHeight="1" x14ac:dyDescent="0.2">
      <c r="A5905" s="3" t="s">
        <v>2170</v>
      </c>
      <c r="C5905" s="2">
        <f>+C5895+C5903+C5884+C5899+C5888</f>
        <v>4674.7</v>
      </c>
      <c r="E5905" s="2">
        <f>+E5895+E5903+E5884+E5899+E5888</f>
        <v>12743.1</v>
      </c>
      <c r="G5905" s="2">
        <f>+G5895+G5903+G5884+G5899+G5888</f>
        <v>1523.03</v>
      </c>
      <c r="I5905" s="2">
        <f>+I5895+I5903+I5884+I5899+I5888</f>
        <v>17500</v>
      </c>
      <c r="K5905" s="2">
        <f>+K5895+K5903+K5884+K5899+K5888</f>
        <v>3500</v>
      </c>
      <c r="L5905" s="9"/>
      <c r="M5905" s="2">
        <f>+M5895+M5903+M5884+M5899+M5888</f>
        <v>23500</v>
      </c>
      <c r="N5905" s="9"/>
      <c r="O5905" s="2">
        <f>+O5895+O5903+O5884+O5899+O5888</f>
        <v>0</v>
      </c>
      <c r="P5905" s="9"/>
      <c r="Q5905" s="2">
        <f>+Q5895+Q5903+Q5884+Q5899+Q5888</f>
        <v>23500</v>
      </c>
      <c r="R5905" s="9"/>
      <c r="U5905" s="13"/>
    </row>
    <row r="5906" spans="1:21" ht="11.85" customHeight="1" x14ac:dyDescent="0.2">
      <c r="L5906" s="9"/>
      <c r="N5906" s="9"/>
      <c r="P5906" s="9"/>
      <c r="T5906" s="11"/>
    </row>
    <row r="5907" spans="1:21" ht="11.85" customHeight="1" x14ac:dyDescent="0.2">
      <c r="L5907" s="9"/>
      <c r="N5907" s="9"/>
      <c r="P5907" s="9"/>
    </row>
    <row r="5908" spans="1:21" ht="11.85" customHeight="1" x14ac:dyDescent="0.2">
      <c r="L5908" s="9"/>
      <c r="N5908" s="9"/>
      <c r="P5908" s="9"/>
    </row>
    <row r="5909" spans="1:21" ht="11.85" customHeight="1" x14ac:dyDescent="0.2">
      <c r="L5909" s="9"/>
      <c r="N5909" s="9"/>
      <c r="P5909" s="9"/>
    </row>
    <row r="5910" spans="1:21" ht="11.85" customHeight="1" x14ac:dyDescent="0.2">
      <c r="L5910" s="9"/>
      <c r="N5910" s="9"/>
      <c r="P5910" s="9"/>
    </row>
    <row r="5911" spans="1:21" ht="11.25" customHeight="1" x14ac:dyDescent="0.2">
      <c r="A5911" s="1"/>
      <c r="B5911" s="1"/>
      <c r="E5911" s="2" t="str">
        <f>$E$1</f>
        <v>CITY OF BRADY</v>
      </c>
    </row>
    <row r="5912" spans="1:21" ht="11.25" customHeight="1" x14ac:dyDescent="0.2">
      <c r="E5912" s="2" t="str">
        <f>$E$2</f>
        <v>BUDGET REPORT</v>
      </c>
    </row>
    <row r="5913" spans="1:21" ht="11.25" customHeight="1" x14ac:dyDescent="0.2">
      <c r="E5913" s="2" t="str">
        <f>$E$3</f>
        <v>FISCAL YEAR 2024 - 2025</v>
      </c>
    </row>
    <row r="5914" spans="1:21" ht="11.25" customHeight="1" x14ac:dyDescent="0.2">
      <c r="A5914" s="3" t="s">
        <v>2154</v>
      </c>
    </row>
    <row r="5915" spans="1:21" ht="11.25" customHeight="1" x14ac:dyDescent="0.2"/>
    <row r="5916" spans="1:21" ht="11.25" customHeight="1" x14ac:dyDescent="0.2">
      <c r="I5916" s="53" t="str">
        <f>$I$6</f>
        <v>(----- 2023-2024------)</v>
      </c>
      <c r="J5916" s="53"/>
      <c r="K5916" s="53"/>
      <c r="L5916" s="6"/>
      <c r="M5916" s="54" t="str">
        <f>$M$6</f>
        <v>2024-2025</v>
      </c>
      <c r="N5916" s="54"/>
      <c r="O5916" s="54"/>
      <c r="P5916" s="54"/>
      <c r="Q5916" s="54"/>
    </row>
    <row r="5917" spans="1:21" ht="11.25" customHeight="1" x14ac:dyDescent="0.2">
      <c r="C5917" s="5" t="str">
        <f>$C$7</f>
        <v>2020-2021</v>
      </c>
      <c r="D5917" s="5"/>
      <c r="E5917" s="5" t="str">
        <f>$E$7</f>
        <v>2021-2022</v>
      </c>
      <c r="F5917" s="5"/>
      <c r="G5917" s="5" t="str">
        <f>$G$7</f>
        <v>2022-2023</v>
      </c>
      <c r="H5917" s="5"/>
      <c r="I5917" s="5" t="s">
        <v>9</v>
      </c>
      <c r="J5917" s="5"/>
      <c r="K5917" s="5" t="str">
        <f>+$K$7</f>
        <v>PROJECTED</v>
      </c>
      <c r="L5917" s="6"/>
      <c r="M5917" s="5">
        <f>$M$7</f>
        <v>0</v>
      </c>
      <c r="N5917" s="6"/>
      <c r="O5917" s="5" t="str">
        <f>$O$7</f>
        <v>2024-2025</v>
      </c>
      <c r="P5917" s="6"/>
      <c r="Q5917" s="5" t="str">
        <f>$Q$7</f>
        <v>APPROVED</v>
      </c>
    </row>
    <row r="5918" spans="1:21" ht="11.25" customHeight="1" x14ac:dyDescent="0.2">
      <c r="A5918" s="7" t="s">
        <v>273</v>
      </c>
      <c r="C5918" s="8" t="s">
        <v>12</v>
      </c>
      <c r="D5918" s="5"/>
      <c r="E5918" s="8" t="s">
        <v>12</v>
      </c>
      <c r="F5918" s="5"/>
      <c r="G5918" s="8" t="s">
        <v>12</v>
      </c>
      <c r="H5918" s="5"/>
      <c r="I5918" s="8" t="s">
        <v>13</v>
      </c>
      <c r="J5918" s="5"/>
      <c r="K5918" s="8" t="s">
        <v>13</v>
      </c>
      <c r="L5918" s="6"/>
      <c r="M5918" s="8" t="str">
        <f>$M$8</f>
        <v>BASE</v>
      </c>
      <c r="N5918" s="6"/>
      <c r="O5918" s="8" t="str">
        <f>$O$8</f>
        <v>SUPPLEMENTAL</v>
      </c>
      <c r="P5918" s="6"/>
      <c r="Q5918" s="8" t="str">
        <f>$Q$8</f>
        <v>BUDGET</v>
      </c>
    </row>
    <row r="5919" spans="1:21" s="39" customFormat="1" ht="10.15" customHeight="1" x14ac:dyDescent="0.25">
      <c r="C5919" s="40"/>
      <c r="D5919" s="40"/>
      <c r="E5919" s="40"/>
      <c r="F5919" s="40"/>
      <c r="G5919" s="40"/>
      <c r="H5919" s="40"/>
      <c r="I5919" s="40"/>
      <c r="J5919" s="40"/>
      <c r="K5919" s="40"/>
      <c r="M5919" s="40"/>
      <c r="O5919" s="40"/>
      <c r="Q5919" s="40"/>
      <c r="S5919" s="40"/>
      <c r="T5919" s="4"/>
    </row>
    <row r="5920" spans="1:21" s="39" customFormat="1" ht="11.25" customHeight="1" x14ac:dyDescent="0.25">
      <c r="C5920" s="40"/>
      <c r="D5920" s="40"/>
      <c r="E5920" s="40"/>
      <c r="F5920" s="40"/>
      <c r="G5920" s="40"/>
      <c r="H5920" s="40"/>
      <c r="I5920" s="40"/>
      <c r="J5920" s="40"/>
      <c r="K5920" s="40"/>
      <c r="L5920" s="41"/>
      <c r="M5920" s="40"/>
      <c r="N5920" s="41"/>
      <c r="O5920" s="40"/>
      <c r="P5920" s="41"/>
      <c r="Q5920" s="40"/>
      <c r="S5920" s="40"/>
      <c r="T5920" s="4"/>
    </row>
    <row r="5921" spans="1:20" s="39" customFormat="1" ht="11.25" customHeight="1" thickBot="1" x14ac:dyDescent="0.3">
      <c r="A5921" s="3" t="s">
        <v>1123</v>
      </c>
      <c r="B5921" s="3"/>
      <c r="C5921" s="25">
        <f>+C5905</f>
        <v>4674.7</v>
      </c>
      <c r="D5921" s="2"/>
      <c r="E5921" s="25">
        <f>+E5905</f>
        <v>12743.1</v>
      </c>
      <c r="F5921" s="2"/>
      <c r="G5921" s="25">
        <f>+G5905</f>
        <v>1523.03</v>
      </c>
      <c r="H5921" s="2"/>
      <c r="I5921" s="25">
        <f>+I5905</f>
        <v>17500</v>
      </c>
      <c r="J5921" s="2"/>
      <c r="K5921" s="25">
        <f>+K5905</f>
        <v>3500</v>
      </c>
      <c r="L5921" s="9"/>
      <c r="M5921" s="36">
        <f>+M5905</f>
        <v>23500</v>
      </c>
      <c r="N5921" s="9"/>
      <c r="O5921" s="36">
        <f>+O5905</f>
        <v>0</v>
      </c>
      <c r="P5921" s="9"/>
      <c r="Q5921" s="36">
        <f>+Q5905</f>
        <v>23500</v>
      </c>
      <c r="R5921" s="3"/>
      <c r="S5921" s="40"/>
      <c r="T5921" s="4"/>
    </row>
    <row r="5922" spans="1:20" s="39" customFormat="1" ht="11.25" customHeight="1" thickTop="1" x14ac:dyDescent="0.25">
      <c r="A5922" s="3"/>
      <c r="B5922" s="3"/>
      <c r="C5922" s="2"/>
      <c r="D5922" s="2"/>
      <c r="E5922" s="2"/>
      <c r="F5922" s="2"/>
      <c r="G5922" s="2"/>
      <c r="H5922" s="2"/>
      <c r="I5922" s="2"/>
      <c r="J5922" s="2"/>
      <c r="K5922" s="2"/>
      <c r="L5922" s="9"/>
      <c r="M5922" s="2"/>
      <c r="N5922" s="9"/>
      <c r="O5922" s="2"/>
      <c r="P5922" s="9"/>
      <c r="Q5922" s="2"/>
      <c r="R5922" s="3"/>
      <c r="S5922" s="40"/>
      <c r="T5922" s="4"/>
    </row>
    <row r="5923" spans="1:20" s="39" customFormat="1" ht="11.25" customHeight="1" thickBot="1" x14ac:dyDescent="0.3">
      <c r="A5923" s="3" t="s">
        <v>1124</v>
      </c>
      <c r="B5923" s="3"/>
      <c r="C5923" s="36">
        <f>C5848-C5921</f>
        <v>-2871.1099999999997</v>
      </c>
      <c r="D5923" s="9"/>
      <c r="E5923" s="36">
        <f>E5848-E5921</f>
        <v>-1065.7099999999991</v>
      </c>
      <c r="F5923" s="9"/>
      <c r="G5923" s="36">
        <f>G5848-G5921</f>
        <v>8441.3799999999992</v>
      </c>
      <c r="H5923" s="9"/>
      <c r="I5923" s="36">
        <f>I5848-I5921</f>
        <v>-12500</v>
      </c>
      <c r="J5923" s="9"/>
      <c r="K5923" s="36">
        <f>K5848-K5921</f>
        <v>3500</v>
      </c>
      <c r="L5923" s="9"/>
      <c r="M5923" s="36">
        <f>M5848-M5921</f>
        <v>-17500</v>
      </c>
      <c r="N5923" s="9"/>
      <c r="O5923" s="36">
        <f>O5848-O5921</f>
        <v>0</v>
      </c>
      <c r="P5923" s="9"/>
      <c r="Q5923" s="36">
        <f>Q5848-Q5921</f>
        <v>-17500</v>
      </c>
      <c r="R5923" s="3"/>
      <c r="S5923" s="40"/>
      <c r="T5923" s="4"/>
    </row>
    <row r="5924" spans="1:20" s="39" customFormat="1" ht="11.25" customHeight="1" thickTop="1" x14ac:dyDescent="0.25">
      <c r="A5924" s="3"/>
      <c r="B5924" s="3"/>
      <c r="C5924" s="2"/>
      <c r="D5924" s="2"/>
      <c r="E5924" s="2"/>
      <c r="F5924" s="2"/>
      <c r="G5924" s="2"/>
      <c r="H5924" s="2"/>
      <c r="I5924" s="2"/>
      <c r="J5924" s="2"/>
      <c r="K5924" s="2"/>
      <c r="L5924" s="9"/>
      <c r="M5924" s="2"/>
      <c r="N5924" s="9"/>
      <c r="O5924" s="2"/>
      <c r="P5924" s="9"/>
      <c r="Q5924" s="2"/>
      <c r="R5924" s="3"/>
      <c r="S5924" s="40"/>
      <c r="T5924" s="4"/>
    </row>
    <row r="5925" spans="1:20" s="39" customFormat="1" ht="11.25" customHeight="1" x14ac:dyDescent="0.25">
      <c r="A5925" s="3"/>
      <c r="B5925" s="3"/>
      <c r="C5925" s="2"/>
      <c r="D5925" s="2"/>
      <c r="E5925" s="2"/>
      <c r="F5925" s="2"/>
      <c r="G5925" s="2"/>
      <c r="H5925" s="2"/>
      <c r="I5925" s="2"/>
      <c r="J5925" s="2"/>
      <c r="K5925" s="2"/>
      <c r="L5925" s="9"/>
      <c r="M5925" s="2"/>
      <c r="N5925" s="9"/>
      <c r="O5925" s="2"/>
      <c r="P5925" s="9"/>
      <c r="Q5925" s="2"/>
      <c r="R5925" s="3"/>
      <c r="S5925" s="40"/>
      <c r="T5925" s="4"/>
    </row>
    <row r="5926" spans="1:20" s="39" customFormat="1" ht="11.25" customHeight="1" x14ac:dyDescent="0.25">
      <c r="A5926" s="3" t="s">
        <v>1125</v>
      </c>
      <c r="B5926" s="3"/>
      <c r="C5926" s="2"/>
      <c r="D5926" s="2"/>
      <c r="E5926" s="2"/>
      <c r="F5926" s="2"/>
      <c r="G5926" s="2"/>
      <c r="H5926" s="2"/>
      <c r="I5926" s="2"/>
      <c r="J5926" s="2"/>
      <c r="K5926" s="2"/>
      <c r="L5926" s="9"/>
      <c r="M5926" s="2"/>
      <c r="N5926" s="9"/>
      <c r="O5926" s="2"/>
      <c r="P5926" s="9"/>
      <c r="Q5926" s="2"/>
      <c r="R5926" s="3"/>
      <c r="S5926" s="40"/>
      <c r="T5926" s="4"/>
    </row>
    <row r="5927" spans="1:20" s="39" customFormat="1" ht="11.25" customHeight="1" thickBot="1" x14ac:dyDescent="0.3">
      <c r="A5927" s="3" t="s">
        <v>17</v>
      </c>
      <c r="B5927" s="3"/>
      <c r="C5927" s="25">
        <f>C5829+C5848-C5905</f>
        <v>18411.97</v>
      </c>
      <c r="D5927" s="2"/>
      <c r="E5927" s="25">
        <f>E5829+E5848-E5905</f>
        <v>17346.260000000002</v>
      </c>
      <c r="F5927" s="2"/>
      <c r="G5927" s="25">
        <f>G5829+G5848-G5905</f>
        <v>25787.640000000003</v>
      </c>
      <c r="H5927" s="2"/>
      <c r="I5927" s="25">
        <f>I5829+I5848-I5905</f>
        <v>13287.640000000003</v>
      </c>
      <c r="J5927" s="2"/>
      <c r="K5927" s="25">
        <f>K5829+K5848-K5905</f>
        <v>29287.64</v>
      </c>
      <c r="L5927" s="9"/>
      <c r="M5927" s="36">
        <f>M5829+M5848-M5905</f>
        <v>11787.64</v>
      </c>
      <c r="N5927" s="9"/>
      <c r="O5927" s="2"/>
      <c r="P5927" s="9"/>
      <c r="Q5927" s="36">
        <f>Q5829+Q5848-Q5905</f>
        <v>11787.64</v>
      </c>
      <c r="R5927" s="3"/>
      <c r="S5927" s="40"/>
      <c r="T5927" s="4"/>
    </row>
    <row r="5928" spans="1:20" s="39" customFormat="1" ht="11.25" customHeight="1" thickTop="1" x14ac:dyDescent="0.25">
      <c r="A5928" s="3"/>
      <c r="B5928" s="3"/>
      <c r="C5928" s="2"/>
      <c r="D5928" s="2"/>
      <c r="E5928" s="2"/>
      <c r="F5928" s="2"/>
      <c r="G5928" s="2"/>
      <c r="H5928" s="2"/>
      <c r="I5928" s="2"/>
      <c r="J5928" s="2"/>
      <c r="K5928" s="2"/>
      <c r="L5928" s="9"/>
      <c r="M5928" s="2"/>
      <c r="N5928" s="9"/>
      <c r="O5928" s="2"/>
      <c r="P5928" s="9"/>
      <c r="Q5928" s="2"/>
      <c r="R5928" s="3"/>
      <c r="S5928" s="40"/>
      <c r="T5928" s="4"/>
    </row>
    <row r="5929" spans="1:20" s="39" customFormat="1" ht="11.25" customHeight="1" x14ac:dyDescent="0.25">
      <c r="C5929" s="40"/>
      <c r="D5929" s="40"/>
      <c r="E5929" s="40"/>
      <c r="F5929" s="40"/>
      <c r="G5929" s="40"/>
      <c r="H5929" s="40"/>
      <c r="I5929" s="40"/>
      <c r="J5929" s="40"/>
      <c r="K5929" s="40"/>
      <c r="M5929" s="40"/>
      <c r="O5929" s="40"/>
      <c r="Q5929" s="40"/>
      <c r="S5929" s="40"/>
      <c r="T5929" s="4"/>
    </row>
    <row r="5930" spans="1:20" ht="11.25" customHeight="1" x14ac:dyDescent="0.2"/>
    <row r="5931" spans="1:20" ht="11.85" customHeight="1" x14ac:dyDescent="0.2"/>
    <row r="5932" spans="1:20" ht="11.85" customHeight="1" x14ac:dyDescent="0.2"/>
    <row r="5933" spans="1:20" ht="11.85" customHeight="1" x14ac:dyDescent="0.2"/>
    <row r="5934" spans="1:20" ht="11.85" customHeight="1" x14ac:dyDescent="0.2"/>
    <row r="5935" spans="1:20" ht="11.85" customHeight="1" x14ac:dyDescent="0.2"/>
    <row r="5936" spans="1:20" ht="11.85" customHeight="1" x14ac:dyDescent="0.2"/>
    <row r="5937" ht="11.85" customHeight="1" x14ac:dyDescent="0.2"/>
    <row r="5938" ht="11.85" customHeight="1" x14ac:dyDescent="0.2"/>
    <row r="5939" ht="11.85" customHeight="1" x14ac:dyDescent="0.2"/>
    <row r="5940" ht="11.85" customHeight="1" x14ac:dyDescent="0.2"/>
    <row r="5941" ht="11.85" customHeight="1" x14ac:dyDescent="0.2"/>
    <row r="5942" ht="11.85" customHeight="1" x14ac:dyDescent="0.2"/>
    <row r="5943" ht="11.85" customHeight="1" x14ac:dyDescent="0.2"/>
    <row r="5944" ht="11.85" customHeight="1" x14ac:dyDescent="0.2"/>
    <row r="5945" ht="11.85" customHeight="1" x14ac:dyDescent="0.2"/>
    <row r="5946" ht="11.85" customHeight="1" x14ac:dyDescent="0.2"/>
    <row r="5947" ht="11.85" customHeight="1" x14ac:dyDescent="0.2"/>
    <row r="5948" ht="11.85" customHeight="1" x14ac:dyDescent="0.2"/>
    <row r="5949" ht="11.85" customHeight="1" x14ac:dyDescent="0.2"/>
    <row r="5950" ht="11.85" customHeight="1" x14ac:dyDescent="0.2"/>
    <row r="5951" ht="11.85" customHeight="1" x14ac:dyDescent="0.2"/>
    <row r="5952" ht="11.85" customHeight="1" x14ac:dyDescent="0.2"/>
    <row r="5953" ht="11.85" customHeight="1" x14ac:dyDescent="0.2"/>
    <row r="5954" ht="11.85" customHeight="1" x14ac:dyDescent="0.2"/>
    <row r="5955" ht="11.85" customHeight="1" x14ac:dyDescent="0.2"/>
    <row r="5956" ht="11.85" customHeight="1" x14ac:dyDescent="0.2"/>
    <row r="5957" ht="11.85" customHeight="1" x14ac:dyDescent="0.2"/>
    <row r="5958" ht="11.85" customHeight="1" x14ac:dyDescent="0.2"/>
    <row r="5959" ht="11.85" customHeight="1" x14ac:dyDescent="0.2"/>
    <row r="5960" ht="11.85" customHeight="1" x14ac:dyDescent="0.2"/>
    <row r="5961" ht="11.85" customHeight="1" x14ac:dyDescent="0.2"/>
    <row r="5962" ht="11.85" customHeight="1" x14ac:dyDescent="0.2"/>
    <row r="5963" ht="11.85" customHeight="1" x14ac:dyDescent="0.2"/>
    <row r="5964" ht="11.85" customHeight="1" x14ac:dyDescent="0.2"/>
    <row r="5965" ht="11.85" customHeight="1" x14ac:dyDescent="0.2"/>
    <row r="5966" ht="11.85" customHeight="1" x14ac:dyDescent="0.2"/>
    <row r="5967" ht="11.85" customHeight="1" x14ac:dyDescent="0.2"/>
    <row r="5968" ht="11.85" customHeight="1" x14ac:dyDescent="0.2"/>
    <row r="5969" spans="1:17" ht="11.85" customHeight="1" x14ac:dyDescent="0.2"/>
    <row r="5970" spans="1:17" ht="11.85" customHeight="1" x14ac:dyDescent="0.2"/>
    <row r="5971" spans="1:17" ht="11.85" customHeight="1" x14ac:dyDescent="0.2"/>
    <row r="5972" spans="1:17" ht="11.85" customHeight="1" x14ac:dyDescent="0.2"/>
    <row r="5973" spans="1:17" ht="11.85" customHeight="1" x14ac:dyDescent="0.2"/>
    <row r="5974" spans="1:17" ht="11.85" customHeight="1" x14ac:dyDescent="0.2"/>
    <row r="5975" spans="1:17" ht="11.85" customHeight="1" x14ac:dyDescent="0.2"/>
    <row r="5976" spans="1:17" ht="11.85" customHeight="1" x14ac:dyDescent="0.2"/>
    <row r="5977" spans="1:17" ht="11.25" customHeight="1" x14ac:dyDescent="0.2">
      <c r="A5977" s="1"/>
      <c r="B5977" s="1"/>
      <c r="E5977" s="2" t="str">
        <f>$E$1</f>
        <v>CITY OF BRADY</v>
      </c>
    </row>
    <row r="5978" spans="1:17" ht="11.25" customHeight="1" x14ac:dyDescent="0.2">
      <c r="E5978" s="2" t="str">
        <f>$E$2</f>
        <v>BUDGET REPORT</v>
      </c>
    </row>
    <row r="5979" spans="1:17" ht="11.25" customHeight="1" x14ac:dyDescent="0.2">
      <c r="E5979" s="2" t="str">
        <f>$E$3</f>
        <v>FISCAL YEAR 2024 - 2025</v>
      </c>
    </row>
    <row r="5980" spans="1:17" ht="11.25" customHeight="1" x14ac:dyDescent="0.2">
      <c r="A5980" s="3" t="s">
        <v>2171</v>
      </c>
    </row>
    <row r="5981" spans="1:17" ht="11.25" customHeight="1" x14ac:dyDescent="0.2"/>
    <row r="5982" spans="1:17" ht="11.25" customHeight="1" x14ac:dyDescent="0.2">
      <c r="I5982" s="53" t="str">
        <f>$I$6</f>
        <v>(----- 2023-2024------)</v>
      </c>
      <c r="J5982" s="53"/>
      <c r="K5982" s="53"/>
      <c r="L5982" s="6"/>
      <c r="M5982" s="54" t="str">
        <f>$M$6</f>
        <v>2024-2025</v>
      </c>
      <c r="N5982" s="54"/>
      <c r="O5982" s="54"/>
      <c r="P5982" s="54"/>
      <c r="Q5982" s="54"/>
    </row>
    <row r="5983" spans="1:17" ht="11.25" customHeight="1" x14ac:dyDescent="0.2">
      <c r="C5983" s="5" t="str">
        <f>$C$7</f>
        <v>2020-2021</v>
      </c>
      <c r="D5983" s="5"/>
      <c r="E5983" s="5" t="str">
        <f>$E$7</f>
        <v>2021-2022</v>
      </c>
      <c r="F5983" s="5"/>
      <c r="G5983" s="5" t="str">
        <f>$G$7</f>
        <v>2022-2023</v>
      </c>
      <c r="H5983" s="5"/>
      <c r="I5983" s="5" t="s">
        <v>9</v>
      </c>
      <c r="J5983" s="5"/>
      <c r="K5983" s="5" t="str">
        <f>+$K$7</f>
        <v>PROJECTED</v>
      </c>
      <c r="L5983" s="6"/>
      <c r="M5983" s="5">
        <f>$M$7</f>
        <v>0</v>
      </c>
      <c r="N5983" s="6"/>
      <c r="O5983" s="5" t="str">
        <f>$O$7</f>
        <v>2024-2025</v>
      </c>
      <c r="P5983" s="6"/>
      <c r="Q5983" s="5" t="str">
        <f>$Q$7</f>
        <v>APPROVED</v>
      </c>
    </row>
    <row r="5984" spans="1:17" ht="11.25" customHeight="1" x14ac:dyDescent="0.2">
      <c r="A5984" s="7"/>
      <c r="C5984" s="8" t="s">
        <v>12</v>
      </c>
      <c r="D5984" s="5"/>
      <c r="E5984" s="8" t="s">
        <v>12</v>
      </c>
      <c r="F5984" s="5"/>
      <c r="G5984" s="8" t="s">
        <v>12</v>
      </c>
      <c r="H5984" s="5"/>
      <c r="I5984" s="8" t="s">
        <v>13</v>
      </c>
      <c r="J5984" s="5"/>
      <c r="K5984" s="8" t="s">
        <v>13</v>
      </c>
      <c r="L5984" s="6"/>
      <c r="M5984" s="8" t="str">
        <f>$M$8</f>
        <v>BASE</v>
      </c>
      <c r="N5984" s="6"/>
      <c r="O5984" s="8" t="str">
        <f>$O$8</f>
        <v>SUPPLEMENTAL</v>
      </c>
      <c r="P5984" s="6"/>
      <c r="Q5984" s="8" t="str">
        <f>$Q$8</f>
        <v>BUDGET</v>
      </c>
    </row>
    <row r="5985" spans="1:17" ht="11.25" customHeight="1" x14ac:dyDescent="0.2"/>
    <row r="5986" spans="1:17" ht="11.25" customHeight="1" x14ac:dyDescent="0.2">
      <c r="A5986" s="3" t="s">
        <v>16</v>
      </c>
      <c r="L5986" s="9"/>
      <c r="N5986" s="9"/>
      <c r="P5986" s="9"/>
    </row>
    <row r="5987" spans="1:17" ht="11.25" customHeight="1" x14ac:dyDescent="0.2">
      <c r="A5987" s="3" t="s">
        <v>17</v>
      </c>
      <c r="C5987" s="2">
        <v>1039510.04</v>
      </c>
      <c r="E5987" s="2">
        <f>+C6133</f>
        <v>504909.94999999984</v>
      </c>
      <c r="G5987" s="2">
        <f>+E6133</f>
        <v>505718.82999999978</v>
      </c>
      <c r="I5987" s="2">
        <f>+G6133</f>
        <v>506527.70999999979</v>
      </c>
      <c r="K5987" s="2">
        <f>+I5987</f>
        <v>506527.70999999979</v>
      </c>
      <c r="L5987" s="9"/>
      <c r="M5987" s="2">
        <f>+K6133</f>
        <v>526719.70999999973</v>
      </c>
      <c r="N5987" s="9"/>
      <c r="P5987" s="9"/>
      <c r="Q5987" s="2">
        <f>+M5987</f>
        <v>526719.70999999973</v>
      </c>
    </row>
    <row r="5988" spans="1:17" ht="11.25" customHeight="1" x14ac:dyDescent="0.2">
      <c r="L5988" s="9"/>
      <c r="N5988" s="9"/>
      <c r="P5988" s="9"/>
    </row>
    <row r="5989" spans="1:17" ht="11.25" customHeight="1" x14ac:dyDescent="0.2">
      <c r="A5989" s="10" t="s">
        <v>18</v>
      </c>
      <c r="L5989" s="9"/>
      <c r="N5989" s="9"/>
      <c r="P5989" s="9"/>
    </row>
    <row r="5990" spans="1:17" ht="11.25" customHeight="1" x14ac:dyDescent="0.2">
      <c r="L5990" s="9"/>
      <c r="N5990" s="9"/>
      <c r="P5990" s="9"/>
    </row>
    <row r="5991" spans="1:17" ht="11.25" customHeight="1" x14ac:dyDescent="0.2">
      <c r="A5991" s="10" t="s">
        <v>1912</v>
      </c>
      <c r="L5991" s="9"/>
      <c r="N5991" s="9"/>
      <c r="P5991" s="9"/>
    </row>
    <row r="5992" spans="1:17" ht="11.25" customHeight="1" x14ac:dyDescent="0.2">
      <c r="A5992" s="3" t="s">
        <v>2172</v>
      </c>
      <c r="C5992" s="2">
        <v>241317.95</v>
      </c>
      <c r="E5992" s="2">
        <v>264652.65000000002</v>
      </c>
      <c r="G5992" s="2">
        <v>264652.65000000002</v>
      </c>
      <c r="I5992" s="2">
        <v>230000</v>
      </c>
      <c r="K5992" s="2">
        <v>220000</v>
      </c>
      <c r="L5992" s="9"/>
      <c r="M5992" s="2">
        <v>0</v>
      </c>
      <c r="N5992" s="9"/>
      <c r="O5992" s="2">
        <v>0</v>
      </c>
      <c r="P5992" s="9"/>
      <c r="Q5992" s="2">
        <f t="shared" ref="Q5992:Q6000" si="147">M5992+O5992</f>
        <v>0</v>
      </c>
    </row>
    <row r="5993" spans="1:17" ht="11.25" customHeight="1" x14ac:dyDescent="0.2">
      <c r="A5993" s="3" t="s">
        <v>2173</v>
      </c>
      <c r="C5993" s="2">
        <v>3096.03</v>
      </c>
      <c r="E5993" s="2">
        <v>10367.870000000001</v>
      </c>
      <c r="G5993" s="2">
        <v>10367.870000000001</v>
      </c>
      <c r="I5993" s="2">
        <v>6000</v>
      </c>
      <c r="K5993" s="2">
        <v>4000</v>
      </c>
      <c r="L5993" s="9"/>
      <c r="M5993" s="2">
        <v>0</v>
      </c>
      <c r="N5993" s="9"/>
      <c r="O5993" s="2">
        <v>0</v>
      </c>
      <c r="P5993" s="9"/>
      <c r="Q5993" s="2">
        <f t="shared" si="147"/>
        <v>0</v>
      </c>
    </row>
    <row r="5994" spans="1:17" ht="11.25" customHeight="1" x14ac:dyDescent="0.2">
      <c r="A5994" s="3" t="s">
        <v>2174</v>
      </c>
      <c r="C5994" s="2">
        <v>0</v>
      </c>
      <c r="E5994" s="2">
        <v>0</v>
      </c>
      <c r="G5994" s="2">
        <v>0</v>
      </c>
      <c r="I5994" s="2">
        <v>0</v>
      </c>
      <c r="K5994" s="2">
        <v>0</v>
      </c>
      <c r="L5994" s="9"/>
      <c r="M5994" s="2">
        <v>0</v>
      </c>
      <c r="N5994" s="9"/>
      <c r="O5994" s="2">
        <v>0</v>
      </c>
      <c r="P5994" s="9"/>
      <c r="Q5994" s="2">
        <f t="shared" si="147"/>
        <v>0</v>
      </c>
    </row>
    <row r="5995" spans="1:17" ht="11.25" customHeight="1" x14ac:dyDescent="0.2">
      <c r="A5995" s="3" t="s">
        <v>2175</v>
      </c>
      <c r="C5995" s="2">
        <v>7724.08</v>
      </c>
      <c r="E5995" s="2">
        <v>8684.5400000000009</v>
      </c>
      <c r="G5995" s="2">
        <v>8684.5400000000009</v>
      </c>
      <c r="I5995" s="2">
        <v>6600</v>
      </c>
      <c r="K5995" s="2">
        <v>6621</v>
      </c>
      <c r="L5995" s="9"/>
      <c r="M5995" s="2">
        <v>0</v>
      </c>
      <c r="N5995" s="9"/>
      <c r="O5995" s="2">
        <v>0</v>
      </c>
      <c r="P5995" s="9"/>
      <c r="Q5995" s="2">
        <f t="shared" si="147"/>
        <v>0</v>
      </c>
    </row>
    <row r="5996" spans="1:17" ht="11.25" customHeight="1" x14ac:dyDescent="0.2">
      <c r="A5996" s="3" t="s">
        <v>2176</v>
      </c>
      <c r="C5996" s="2">
        <v>4846.92</v>
      </c>
      <c r="E5996" s="2">
        <v>0</v>
      </c>
      <c r="G5996" s="2">
        <v>0</v>
      </c>
      <c r="I5996" s="2">
        <v>0</v>
      </c>
      <c r="K5996" s="2">
        <v>0</v>
      </c>
      <c r="L5996" s="9"/>
      <c r="M5996" s="2">
        <v>0</v>
      </c>
      <c r="N5996" s="9"/>
      <c r="O5996" s="2">
        <v>0</v>
      </c>
      <c r="P5996" s="9"/>
      <c r="Q5996" s="2">
        <f t="shared" si="147"/>
        <v>0</v>
      </c>
    </row>
    <row r="5997" spans="1:17" ht="11.25" customHeight="1" x14ac:dyDescent="0.2">
      <c r="A5997" s="3" t="s">
        <v>2177</v>
      </c>
      <c r="C5997" s="2">
        <v>0</v>
      </c>
      <c r="E5997" s="2">
        <v>2800</v>
      </c>
      <c r="G5997" s="2">
        <v>2800</v>
      </c>
      <c r="I5997" s="2">
        <v>0</v>
      </c>
      <c r="K5997" s="2">
        <v>0</v>
      </c>
      <c r="L5997" s="9"/>
      <c r="M5997" s="2">
        <v>0</v>
      </c>
      <c r="N5997" s="9"/>
      <c r="O5997" s="2">
        <v>0</v>
      </c>
      <c r="P5997" s="9"/>
      <c r="Q5997" s="2">
        <f t="shared" si="147"/>
        <v>0</v>
      </c>
    </row>
    <row r="5998" spans="1:17" ht="11.25" customHeight="1" x14ac:dyDescent="0.2">
      <c r="A5998" s="3" t="s">
        <v>2178</v>
      </c>
      <c r="C5998" s="2">
        <v>18480</v>
      </c>
      <c r="E5998" s="2">
        <v>0</v>
      </c>
      <c r="G5998" s="2">
        <v>0</v>
      </c>
      <c r="I5998" s="2">
        <v>0</v>
      </c>
      <c r="K5998" s="2">
        <v>0</v>
      </c>
      <c r="L5998" s="9"/>
      <c r="M5998" s="2">
        <v>0</v>
      </c>
      <c r="N5998" s="9"/>
      <c r="O5998" s="2">
        <v>0</v>
      </c>
      <c r="P5998" s="9"/>
      <c r="Q5998" s="2">
        <f t="shared" si="147"/>
        <v>0</v>
      </c>
    </row>
    <row r="5999" spans="1:17" ht="11.25" customHeight="1" x14ac:dyDescent="0.2">
      <c r="A5999" s="3" t="s">
        <v>2179</v>
      </c>
      <c r="C5999" s="2">
        <v>7720.68</v>
      </c>
      <c r="E5999" s="2">
        <v>7720.66</v>
      </c>
      <c r="G5999" s="2">
        <v>7720.66</v>
      </c>
      <c r="I5999" s="2">
        <v>7700</v>
      </c>
      <c r="K5999" s="2">
        <v>7721</v>
      </c>
      <c r="L5999" s="9"/>
      <c r="M5999" s="2">
        <v>0</v>
      </c>
      <c r="N5999" s="9"/>
      <c r="O5999" s="2">
        <v>0</v>
      </c>
      <c r="P5999" s="9"/>
      <c r="Q5999" s="2">
        <f>M5999+O5999</f>
        <v>0</v>
      </c>
    </row>
    <row r="6000" spans="1:17" ht="11.25" customHeight="1" x14ac:dyDescent="0.2">
      <c r="A6000" s="3" t="s">
        <v>2180</v>
      </c>
      <c r="C6000" s="2">
        <v>207.22</v>
      </c>
      <c r="E6000" s="2">
        <v>15</v>
      </c>
      <c r="G6000" s="2">
        <v>15</v>
      </c>
      <c r="I6000" s="2">
        <v>0</v>
      </c>
      <c r="K6000" s="2">
        <v>0</v>
      </c>
      <c r="L6000" s="9"/>
      <c r="M6000" s="2">
        <v>0</v>
      </c>
      <c r="N6000" s="9"/>
      <c r="O6000" s="2">
        <v>0</v>
      </c>
      <c r="P6000" s="9"/>
      <c r="Q6000" s="2">
        <f t="shared" si="147"/>
        <v>0</v>
      </c>
    </row>
    <row r="6001" spans="1:17" ht="11.25" hidden="1" customHeight="1" x14ac:dyDescent="0.2">
      <c r="A6001" s="3" t="s">
        <v>2181</v>
      </c>
      <c r="C6001" s="2">
        <v>0</v>
      </c>
      <c r="E6001" s="2">
        <v>0</v>
      </c>
      <c r="G6001" s="2">
        <v>0</v>
      </c>
      <c r="I6001" s="2">
        <v>0</v>
      </c>
      <c r="K6001" s="2">
        <v>0</v>
      </c>
      <c r="L6001" s="9"/>
      <c r="M6001" s="2">
        <v>0</v>
      </c>
      <c r="N6001" s="9"/>
      <c r="O6001" s="2">
        <v>0</v>
      </c>
      <c r="P6001" s="9"/>
      <c r="Q6001" s="2">
        <v>0</v>
      </c>
    </row>
    <row r="6002" spans="1:17" ht="11.25" customHeight="1" x14ac:dyDescent="0.2">
      <c r="A6002" s="3" t="s">
        <v>2182</v>
      </c>
      <c r="C6002" s="12">
        <v>0</v>
      </c>
      <c r="E6002" s="12">
        <v>0</v>
      </c>
      <c r="G6002" s="12">
        <v>0</v>
      </c>
      <c r="I6002" s="12">
        <v>0</v>
      </c>
      <c r="K6002" s="12">
        <v>0</v>
      </c>
      <c r="L6002" s="9"/>
      <c r="M6002" s="12">
        <v>0</v>
      </c>
      <c r="N6002" s="9"/>
      <c r="O6002" s="12">
        <v>0</v>
      </c>
      <c r="P6002" s="9"/>
      <c r="Q6002" s="12">
        <v>0</v>
      </c>
    </row>
    <row r="6003" spans="1:17" ht="11.25" customHeight="1" x14ac:dyDescent="0.2">
      <c r="A6003" s="3" t="s">
        <v>1174</v>
      </c>
      <c r="C6003" s="2">
        <f>SUM(C5992:C6002)</f>
        <v>283392.87999999995</v>
      </c>
      <c r="E6003" s="2">
        <f>SUM(E5992:E6002)</f>
        <v>294240.71999999997</v>
      </c>
      <c r="G6003" s="2">
        <f>SUM(G5992:G6002)</f>
        <v>294240.71999999997</v>
      </c>
      <c r="I6003" s="2">
        <f>SUM(I5992:I6002)</f>
        <v>250300</v>
      </c>
      <c r="K6003" s="2">
        <f>SUM(K5992:K6002)</f>
        <v>238342</v>
      </c>
      <c r="L6003" s="9"/>
      <c r="M6003" s="2">
        <f>SUM(M5992:M6002)</f>
        <v>0</v>
      </c>
      <c r="N6003" s="9"/>
      <c r="O6003" s="2">
        <f>SUM(O5992:O6002)</f>
        <v>0</v>
      </c>
      <c r="P6003" s="9"/>
      <c r="Q6003" s="2">
        <f>SUM(Q5992:Q6002)</f>
        <v>0</v>
      </c>
    </row>
    <row r="6004" spans="1:17" ht="11.25" customHeight="1" x14ac:dyDescent="0.2">
      <c r="L6004" s="9"/>
      <c r="N6004" s="9"/>
      <c r="P6004" s="9"/>
    </row>
    <row r="6005" spans="1:17" ht="11.25" customHeight="1" thickBot="1" x14ac:dyDescent="0.25">
      <c r="A6005" s="3" t="s">
        <v>270</v>
      </c>
      <c r="C6005" s="25">
        <f>C6003</f>
        <v>283392.87999999995</v>
      </c>
      <c r="E6005" s="25">
        <f>E6003</f>
        <v>294240.71999999997</v>
      </c>
      <c r="G6005" s="25">
        <f>G6003</f>
        <v>294240.71999999997</v>
      </c>
      <c r="I6005" s="25">
        <f>I6003</f>
        <v>250300</v>
      </c>
      <c r="K6005" s="25">
        <f>K6003</f>
        <v>238342</v>
      </c>
      <c r="L6005" s="9"/>
      <c r="M6005" s="25">
        <f>M6003</f>
        <v>0</v>
      </c>
      <c r="N6005" s="9"/>
      <c r="O6005" s="25">
        <f>O6003</f>
        <v>0</v>
      </c>
      <c r="P6005" s="9"/>
      <c r="Q6005" s="25">
        <f>Q6003</f>
        <v>0</v>
      </c>
    </row>
    <row r="6006" spans="1:17" ht="11.25" customHeight="1" thickTop="1" x14ac:dyDescent="0.2">
      <c r="L6006" s="9"/>
      <c r="N6006" s="9"/>
      <c r="P6006" s="9"/>
    </row>
    <row r="6007" spans="1:17" ht="11.25" customHeight="1" x14ac:dyDescent="0.2">
      <c r="L6007" s="9"/>
      <c r="N6007" s="9"/>
      <c r="P6007" s="9"/>
    </row>
    <row r="6008" spans="1:17" ht="11.25" customHeight="1" x14ac:dyDescent="0.2">
      <c r="A6008" s="3" t="s">
        <v>271</v>
      </c>
      <c r="C6008" s="2">
        <f>C5987+C6005</f>
        <v>1322902.92</v>
      </c>
      <c r="E6008" s="2">
        <f>E5987+E6005</f>
        <v>799150.66999999981</v>
      </c>
      <c r="G6008" s="2">
        <f>G5987+G6005</f>
        <v>799959.54999999981</v>
      </c>
      <c r="I6008" s="2">
        <f>I5987+I6005</f>
        <v>756827.70999999973</v>
      </c>
      <c r="K6008" s="2">
        <f>K5987+K6005</f>
        <v>744869.70999999973</v>
      </c>
      <c r="L6008" s="9"/>
      <c r="M6008" s="2">
        <f>M5987+M6005</f>
        <v>526719.70999999973</v>
      </c>
      <c r="N6008" s="9"/>
      <c r="P6008" s="9"/>
      <c r="Q6008" s="2">
        <f>Q5987+Q6005</f>
        <v>526719.70999999973</v>
      </c>
    </row>
    <row r="6009" spans="1:17" ht="11.25" customHeight="1" x14ac:dyDescent="0.2"/>
    <row r="6010" spans="1:17" ht="11.25" customHeight="1" x14ac:dyDescent="0.2"/>
    <row r="6011" spans="1:17" ht="11.25" customHeight="1" x14ac:dyDescent="0.2"/>
    <row r="6012" spans="1:17" ht="11.25" customHeight="1" x14ac:dyDescent="0.2"/>
    <row r="6013" spans="1:17" ht="11.25" customHeight="1" x14ac:dyDescent="0.2"/>
    <row r="6014" spans="1:17" ht="11.25" customHeight="1" x14ac:dyDescent="0.2"/>
    <row r="6015" spans="1:17" ht="11.25" customHeight="1" x14ac:dyDescent="0.2"/>
    <row r="6016" spans="1:17" ht="11.25" customHeight="1" x14ac:dyDescent="0.2"/>
    <row r="6017" ht="11.25" customHeight="1" x14ac:dyDescent="0.2"/>
    <row r="6018" ht="11.25" customHeight="1" x14ac:dyDescent="0.2"/>
    <row r="6019" ht="11.25" customHeight="1" x14ac:dyDescent="0.2"/>
    <row r="6020" ht="11.25" customHeight="1" x14ac:dyDescent="0.2"/>
    <row r="6021" ht="11.25" customHeight="1" x14ac:dyDescent="0.2"/>
    <row r="6022" ht="11.25" customHeight="1" x14ac:dyDescent="0.2"/>
    <row r="6023" ht="11.25" customHeight="1" x14ac:dyDescent="0.2"/>
    <row r="6024" ht="11.25" customHeight="1" x14ac:dyDescent="0.2"/>
    <row r="6025" ht="11.25" customHeight="1" x14ac:dyDescent="0.2"/>
    <row r="6026" ht="11.25" customHeight="1" x14ac:dyDescent="0.2"/>
    <row r="6027" ht="11.25" customHeight="1" x14ac:dyDescent="0.2"/>
    <row r="6028" ht="11.25" customHeight="1" x14ac:dyDescent="0.2"/>
    <row r="6029" ht="11.25" customHeight="1" x14ac:dyDescent="0.2"/>
    <row r="6030" ht="11.25" customHeight="1" x14ac:dyDescent="0.2"/>
    <row r="6031" ht="11.25" customHeight="1" x14ac:dyDescent="0.2"/>
    <row r="6032" ht="11.25" customHeight="1" x14ac:dyDescent="0.2"/>
    <row r="6033" spans="1:17" ht="11.25" customHeight="1" x14ac:dyDescent="0.2"/>
    <row r="6034" spans="1:17" ht="11.25" customHeight="1" x14ac:dyDescent="0.2"/>
    <row r="6035" spans="1:17" ht="11.25" customHeight="1" x14ac:dyDescent="0.2"/>
    <row r="6036" spans="1:17" ht="11.25" customHeight="1" x14ac:dyDescent="0.2"/>
    <row r="6037" spans="1:17" ht="11.25" customHeight="1" x14ac:dyDescent="0.2"/>
    <row r="6038" spans="1:17" ht="11.25" customHeight="1" x14ac:dyDescent="0.2"/>
    <row r="6039" spans="1:17" ht="11.25" customHeight="1" x14ac:dyDescent="0.2"/>
    <row r="6040" spans="1:17" ht="11.25" customHeight="1" x14ac:dyDescent="0.2"/>
    <row r="6041" spans="1:17" ht="11.25" customHeight="1" x14ac:dyDescent="0.2"/>
    <row r="6042" spans="1:17" ht="11.25" customHeight="1" x14ac:dyDescent="0.2"/>
    <row r="6043" spans="1:17" ht="11.25" customHeight="1" x14ac:dyDescent="0.2">
      <c r="A6043" s="1"/>
      <c r="B6043" s="1"/>
      <c r="E6043" s="2" t="str">
        <f>$E$1</f>
        <v>CITY OF BRADY</v>
      </c>
    </row>
    <row r="6044" spans="1:17" ht="11.25" customHeight="1" x14ac:dyDescent="0.2">
      <c r="E6044" s="2" t="str">
        <f>$E$2</f>
        <v>BUDGET REPORT</v>
      </c>
    </row>
    <row r="6045" spans="1:17" ht="11.25" customHeight="1" x14ac:dyDescent="0.2">
      <c r="E6045" s="2" t="str">
        <f>$E$3</f>
        <v>FISCAL YEAR 2024 - 2025</v>
      </c>
    </row>
    <row r="6046" spans="1:17" ht="11.25" customHeight="1" x14ac:dyDescent="0.2">
      <c r="A6046" s="3" t="s">
        <v>2171</v>
      </c>
    </row>
    <row r="6047" spans="1:17" ht="11.25" customHeight="1" x14ac:dyDescent="0.2">
      <c r="A6047" s="3" t="s">
        <v>2183</v>
      </c>
    </row>
    <row r="6048" spans="1:17" ht="11.25" customHeight="1" x14ac:dyDescent="0.2">
      <c r="I6048" s="53" t="str">
        <f>$I$6</f>
        <v>(----- 2023-2024------)</v>
      </c>
      <c r="J6048" s="53"/>
      <c r="K6048" s="53"/>
      <c r="L6048" s="6"/>
      <c r="M6048" s="54" t="str">
        <f>$M$6</f>
        <v>2024-2025</v>
      </c>
      <c r="N6048" s="54"/>
      <c r="O6048" s="54"/>
      <c r="P6048" s="54"/>
      <c r="Q6048" s="54"/>
    </row>
    <row r="6049" spans="1:17" ht="11.25" customHeight="1" x14ac:dyDescent="0.2">
      <c r="C6049" s="5" t="str">
        <f>$C$7</f>
        <v>2020-2021</v>
      </c>
      <c r="D6049" s="5"/>
      <c r="E6049" s="5" t="str">
        <f>$E$7</f>
        <v>2021-2022</v>
      </c>
      <c r="F6049" s="5"/>
      <c r="G6049" s="5" t="str">
        <f>$G$7</f>
        <v>2022-2023</v>
      </c>
      <c r="H6049" s="5"/>
      <c r="I6049" s="5" t="s">
        <v>9</v>
      </c>
      <c r="J6049" s="5"/>
      <c r="K6049" s="5" t="str">
        <f>+$K$7</f>
        <v>PROJECTED</v>
      </c>
      <c r="L6049" s="6"/>
      <c r="M6049" s="5">
        <f>$M$7</f>
        <v>0</v>
      </c>
      <c r="N6049" s="6"/>
      <c r="O6049" s="5" t="str">
        <f>$O$7</f>
        <v>2024-2025</v>
      </c>
      <c r="P6049" s="6"/>
      <c r="Q6049" s="5" t="str">
        <f>$Q$7</f>
        <v>APPROVED</v>
      </c>
    </row>
    <row r="6050" spans="1:17" ht="11.25" customHeight="1" x14ac:dyDescent="0.2">
      <c r="A6050" s="7" t="s">
        <v>273</v>
      </c>
      <c r="C6050" s="8" t="s">
        <v>12</v>
      </c>
      <c r="D6050" s="5"/>
      <c r="E6050" s="8" t="s">
        <v>12</v>
      </c>
      <c r="F6050" s="5"/>
      <c r="G6050" s="8" t="s">
        <v>12</v>
      </c>
      <c r="H6050" s="5"/>
      <c r="I6050" s="8" t="s">
        <v>13</v>
      </c>
      <c r="J6050" s="5"/>
      <c r="K6050" s="8" t="s">
        <v>13</v>
      </c>
      <c r="L6050" s="6"/>
      <c r="M6050" s="8" t="str">
        <f>$M$8</f>
        <v>BASE</v>
      </c>
      <c r="N6050" s="6"/>
      <c r="O6050" s="8" t="str">
        <f>$O$8</f>
        <v>SUPPLEMENTAL</v>
      </c>
      <c r="P6050" s="6"/>
      <c r="Q6050" s="8" t="str">
        <f>$Q$8</f>
        <v>BUDGET</v>
      </c>
    </row>
    <row r="6051" spans="1:17" ht="11.25" customHeight="1" x14ac:dyDescent="0.2"/>
    <row r="6052" spans="1:17" ht="11.25" customHeight="1" x14ac:dyDescent="0.2">
      <c r="A6052" s="10" t="s">
        <v>286</v>
      </c>
      <c r="L6052" s="9"/>
      <c r="N6052" s="9"/>
      <c r="P6052" s="9"/>
    </row>
    <row r="6053" spans="1:17" ht="11.25" customHeight="1" x14ac:dyDescent="0.2">
      <c r="A6053" s="3" t="s">
        <v>2184</v>
      </c>
      <c r="C6053" s="2">
        <v>0</v>
      </c>
      <c r="E6053" s="2">
        <v>0</v>
      </c>
      <c r="G6053" s="2">
        <v>0</v>
      </c>
      <c r="I6053" s="2">
        <v>0</v>
      </c>
      <c r="K6053" s="2">
        <v>0</v>
      </c>
      <c r="L6053" s="9"/>
      <c r="M6053" s="2">
        <v>0</v>
      </c>
      <c r="N6053" s="9"/>
      <c r="O6053" s="2">
        <v>0</v>
      </c>
      <c r="P6053" s="9"/>
      <c r="Q6053" s="2">
        <f t="shared" ref="Q6053:Q6069" si="148">M6053+O6053</f>
        <v>0</v>
      </c>
    </row>
    <row r="6054" spans="1:17" ht="11.25" customHeight="1" x14ac:dyDescent="0.2">
      <c r="A6054" s="3" t="s">
        <v>2185</v>
      </c>
      <c r="C6054" s="2">
        <v>2821</v>
      </c>
      <c r="E6054" s="2">
        <v>0</v>
      </c>
      <c r="G6054" s="2">
        <v>0</v>
      </c>
      <c r="I6054" s="2">
        <v>0</v>
      </c>
      <c r="K6054" s="2">
        <v>0</v>
      </c>
      <c r="L6054" s="9"/>
      <c r="M6054" s="2">
        <v>0</v>
      </c>
      <c r="N6054" s="9"/>
      <c r="O6054" s="2">
        <v>0</v>
      </c>
      <c r="P6054" s="9"/>
      <c r="Q6054" s="2">
        <f t="shared" si="148"/>
        <v>0</v>
      </c>
    </row>
    <row r="6055" spans="1:17" ht="11.25" customHeight="1" x14ac:dyDescent="0.2">
      <c r="A6055" s="3" t="s">
        <v>2186</v>
      </c>
      <c r="C6055" s="2">
        <v>4000</v>
      </c>
      <c r="E6055" s="2">
        <v>0</v>
      </c>
      <c r="G6055" s="2">
        <v>0</v>
      </c>
      <c r="I6055" s="2">
        <v>0</v>
      </c>
      <c r="K6055" s="2">
        <v>0</v>
      </c>
      <c r="L6055" s="9"/>
      <c r="M6055" s="2">
        <v>0</v>
      </c>
      <c r="N6055" s="9"/>
      <c r="O6055" s="2">
        <v>0</v>
      </c>
      <c r="P6055" s="9"/>
      <c r="Q6055" s="2">
        <f t="shared" si="148"/>
        <v>0</v>
      </c>
    </row>
    <row r="6056" spans="1:17" ht="11.25" customHeight="1" x14ac:dyDescent="0.2">
      <c r="A6056" s="3" t="s">
        <v>2187</v>
      </c>
      <c r="C6056" s="2">
        <v>10009.89</v>
      </c>
      <c r="E6056" s="2">
        <v>0</v>
      </c>
      <c r="G6056" s="2">
        <v>0</v>
      </c>
      <c r="I6056" s="2">
        <v>0</v>
      </c>
      <c r="K6056" s="2">
        <v>0</v>
      </c>
      <c r="L6056" s="9"/>
      <c r="M6056" s="2">
        <v>0</v>
      </c>
      <c r="N6056" s="9"/>
      <c r="O6056" s="2">
        <v>0</v>
      </c>
      <c r="P6056" s="9"/>
      <c r="Q6056" s="2">
        <f t="shared" si="148"/>
        <v>0</v>
      </c>
    </row>
    <row r="6057" spans="1:17" ht="11.25" customHeight="1" x14ac:dyDescent="0.2">
      <c r="A6057" s="3" t="s">
        <v>2188</v>
      </c>
      <c r="C6057" s="2">
        <v>0</v>
      </c>
      <c r="E6057" s="2">
        <v>3000</v>
      </c>
      <c r="G6057" s="2">
        <v>3000</v>
      </c>
      <c r="I6057" s="2">
        <v>0</v>
      </c>
      <c r="K6057" s="2">
        <v>3000</v>
      </c>
      <c r="L6057" s="9"/>
      <c r="M6057" s="2">
        <v>0</v>
      </c>
      <c r="N6057" s="9"/>
      <c r="O6057" s="2">
        <v>0</v>
      </c>
      <c r="P6057" s="9"/>
      <c r="Q6057" s="2">
        <f t="shared" si="148"/>
        <v>0</v>
      </c>
    </row>
    <row r="6058" spans="1:17" ht="11.25" customHeight="1" x14ac:dyDescent="0.2">
      <c r="A6058" s="3" t="s">
        <v>2189</v>
      </c>
      <c r="C6058" s="2">
        <v>0</v>
      </c>
      <c r="E6058" s="2">
        <v>19675</v>
      </c>
      <c r="G6058" s="2">
        <v>19675</v>
      </c>
      <c r="I6058" s="2">
        <v>0</v>
      </c>
      <c r="K6058" s="2">
        <v>22000</v>
      </c>
      <c r="L6058" s="9"/>
      <c r="M6058" s="2">
        <v>0</v>
      </c>
      <c r="N6058" s="9"/>
      <c r="O6058" s="2">
        <v>0</v>
      </c>
      <c r="P6058" s="9"/>
      <c r="Q6058" s="2">
        <f t="shared" si="148"/>
        <v>0</v>
      </c>
    </row>
    <row r="6059" spans="1:17" ht="11.25" customHeight="1" x14ac:dyDescent="0.2">
      <c r="A6059" s="3" t="s">
        <v>2190</v>
      </c>
      <c r="C6059" s="2">
        <v>0</v>
      </c>
      <c r="E6059" s="2">
        <v>0</v>
      </c>
      <c r="G6059" s="2">
        <v>0</v>
      </c>
      <c r="I6059" s="2">
        <v>23000</v>
      </c>
      <c r="K6059" s="2">
        <v>0</v>
      </c>
      <c r="L6059" s="9"/>
      <c r="M6059" s="2">
        <v>0</v>
      </c>
      <c r="N6059" s="9"/>
      <c r="O6059" s="2">
        <v>0</v>
      </c>
      <c r="P6059" s="9"/>
      <c r="Q6059" s="2">
        <f t="shared" si="148"/>
        <v>0</v>
      </c>
    </row>
    <row r="6060" spans="1:17" ht="11.25" customHeight="1" x14ac:dyDescent="0.2">
      <c r="A6060" s="3" t="s">
        <v>2191</v>
      </c>
      <c r="C6060" s="2">
        <v>1670.9</v>
      </c>
      <c r="E6060" s="2">
        <v>444</v>
      </c>
      <c r="G6060" s="2">
        <v>444</v>
      </c>
      <c r="I6060" s="2">
        <v>1000</v>
      </c>
      <c r="K6060" s="2">
        <v>1000</v>
      </c>
      <c r="L6060" s="9"/>
      <c r="M6060" s="2">
        <v>0</v>
      </c>
      <c r="N6060" s="9"/>
      <c r="O6060" s="2">
        <v>0</v>
      </c>
      <c r="P6060" s="9"/>
      <c r="Q6060" s="2">
        <f t="shared" si="148"/>
        <v>0</v>
      </c>
    </row>
    <row r="6061" spans="1:17" ht="11.25" hidden="1" customHeight="1" x14ac:dyDescent="0.2">
      <c r="A6061" s="3" t="s">
        <v>2192</v>
      </c>
      <c r="C6061" s="2">
        <v>0</v>
      </c>
      <c r="E6061" s="2">
        <v>0</v>
      </c>
      <c r="G6061" s="2">
        <v>0</v>
      </c>
      <c r="I6061" s="2">
        <v>0</v>
      </c>
      <c r="K6061" s="2">
        <v>0</v>
      </c>
      <c r="L6061" s="9"/>
      <c r="M6061" s="2">
        <v>0</v>
      </c>
      <c r="N6061" s="9"/>
      <c r="O6061" s="2">
        <v>0</v>
      </c>
      <c r="P6061" s="9"/>
      <c r="Q6061" s="2">
        <f t="shared" si="148"/>
        <v>0</v>
      </c>
    </row>
    <row r="6062" spans="1:17" ht="11.25" customHeight="1" x14ac:dyDescent="0.2">
      <c r="A6062" s="3" t="s">
        <v>2193</v>
      </c>
      <c r="C6062" s="2">
        <v>36300</v>
      </c>
      <c r="E6062" s="2">
        <v>90000</v>
      </c>
      <c r="G6062" s="2">
        <v>90000</v>
      </c>
      <c r="I6062" s="2">
        <v>63000</v>
      </c>
      <c r="K6062" s="2">
        <v>90000</v>
      </c>
      <c r="L6062" s="9"/>
      <c r="M6062" s="2">
        <v>0</v>
      </c>
      <c r="N6062" s="9"/>
      <c r="O6062" s="2">
        <v>0</v>
      </c>
      <c r="P6062" s="9"/>
      <c r="Q6062" s="2">
        <f t="shared" si="148"/>
        <v>0</v>
      </c>
    </row>
    <row r="6063" spans="1:17" ht="11.25" hidden="1" customHeight="1" x14ac:dyDescent="0.2">
      <c r="A6063" s="3" t="s">
        <v>2194</v>
      </c>
      <c r="C6063" s="2">
        <v>0</v>
      </c>
      <c r="E6063" s="2">
        <v>0</v>
      </c>
      <c r="G6063" s="2">
        <v>0</v>
      </c>
      <c r="I6063" s="2">
        <v>0</v>
      </c>
      <c r="K6063" s="2">
        <v>0</v>
      </c>
      <c r="L6063" s="9"/>
      <c r="M6063" s="2">
        <v>0</v>
      </c>
      <c r="N6063" s="9"/>
      <c r="O6063" s="2">
        <v>0</v>
      </c>
      <c r="P6063" s="9"/>
      <c r="Q6063" s="2">
        <v>0</v>
      </c>
    </row>
    <row r="6064" spans="1:17" ht="11.25" customHeight="1" x14ac:dyDescent="0.2">
      <c r="A6064" s="3" t="s">
        <v>2195</v>
      </c>
      <c r="C6064" s="2">
        <v>30000</v>
      </c>
      <c r="E6064" s="2">
        <v>30000</v>
      </c>
      <c r="G6064" s="2">
        <v>30000</v>
      </c>
      <c r="I6064" s="2">
        <v>30000</v>
      </c>
      <c r="K6064" s="2">
        <v>30000</v>
      </c>
      <c r="L6064" s="9"/>
      <c r="M6064" s="2">
        <v>0</v>
      </c>
      <c r="N6064" s="9"/>
      <c r="O6064" s="2">
        <v>0</v>
      </c>
      <c r="P6064" s="9"/>
      <c r="Q6064" s="2">
        <f t="shared" si="148"/>
        <v>0</v>
      </c>
    </row>
    <row r="6065" spans="1:17" ht="11.25" customHeight="1" x14ac:dyDescent="0.2">
      <c r="A6065" s="3" t="s">
        <v>2196</v>
      </c>
      <c r="C6065" s="2">
        <v>725650</v>
      </c>
      <c r="E6065" s="2">
        <v>66163</v>
      </c>
      <c r="G6065" s="2">
        <v>66163</v>
      </c>
      <c r="I6065" s="2">
        <v>57500</v>
      </c>
      <c r="K6065" s="2">
        <v>55000</v>
      </c>
      <c r="L6065" s="9"/>
      <c r="M6065" s="2">
        <v>0</v>
      </c>
      <c r="N6065" s="9"/>
      <c r="O6065" s="2">
        <v>0</v>
      </c>
      <c r="P6065" s="9"/>
      <c r="Q6065" s="2">
        <f t="shared" si="148"/>
        <v>0</v>
      </c>
    </row>
    <row r="6066" spans="1:17" ht="11.25" hidden="1" customHeight="1" x14ac:dyDescent="0.2">
      <c r="A6066" s="3" t="s">
        <v>2197</v>
      </c>
      <c r="C6066" s="2">
        <v>0</v>
      </c>
      <c r="E6066" s="2">
        <v>0</v>
      </c>
      <c r="G6066" s="2">
        <v>0</v>
      </c>
      <c r="I6066" s="2">
        <v>0</v>
      </c>
      <c r="K6066" s="2">
        <v>0</v>
      </c>
      <c r="L6066" s="9"/>
      <c r="M6066" s="2">
        <v>0</v>
      </c>
      <c r="N6066" s="9"/>
      <c r="O6066" s="2">
        <v>0</v>
      </c>
      <c r="P6066" s="9"/>
      <c r="Q6066" s="2">
        <f t="shared" si="148"/>
        <v>0</v>
      </c>
    </row>
    <row r="6067" spans="1:17" ht="11.25" customHeight="1" x14ac:dyDescent="0.2">
      <c r="A6067" s="3" t="s">
        <v>2198</v>
      </c>
      <c r="C6067" s="2">
        <v>0</v>
      </c>
      <c r="E6067" s="2">
        <v>0</v>
      </c>
      <c r="G6067" s="2">
        <v>0</v>
      </c>
      <c r="I6067" s="2">
        <v>0</v>
      </c>
      <c r="K6067" s="2">
        <v>0</v>
      </c>
      <c r="L6067" s="9"/>
      <c r="M6067" s="2">
        <v>0</v>
      </c>
      <c r="N6067" s="9"/>
      <c r="O6067" s="2">
        <v>0</v>
      </c>
      <c r="P6067" s="9"/>
      <c r="Q6067" s="2">
        <f t="shared" si="148"/>
        <v>0</v>
      </c>
    </row>
    <row r="6068" spans="1:17" ht="11.25" customHeight="1" x14ac:dyDescent="0.2">
      <c r="A6068" s="3" t="s">
        <v>2199</v>
      </c>
      <c r="C6068" s="12">
        <v>250</v>
      </c>
      <c r="E6068" s="12">
        <v>250</v>
      </c>
      <c r="G6068" s="12">
        <v>250</v>
      </c>
      <c r="I6068" s="12">
        <v>250</v>
      </c>
      <c r="K6068" s="12">
        <v>250</v>
      </c>
      <c r="L6068" s="9"/>
      <c r="M6068" s="12">
        <v>0</v>
      </c>
      <c r="N6068" s="9"/>
      <c r="O6068" s="12">
        <v>0</v>
      </c>
      <c r="P6068" s="9"/>
      <c r="Q6068" s="12">
        <f t="shared" si="148"/>
        <v>0</v>
      </c>
    </row>
    <row r="6069" spans="1:17" ht="11.25" customHeight="1" x14ac:dyDescent="0.2">
      <c r="A6069" s="3" t="s">
        <v>304</v>
      </c>
      <c r="C6069" s="2">
        <f>SUM(C6053:C6068)</f>
        <v>810701.79</v>
      </c>
      <c r="E6069" s="2">
        <f>SUM(E6053:E6068)</f>
        <v>209532</v>
      </c>
      <c r="G6069" s="2">
        <f>SUM(G6053:G6068)</f>
        <v>209532</v>
      </c>
      <c r="I6069" s="2">
        <f>SUM(I6053:I6068)</f>
        <v>174750</v>
      </c>
      <c r="K6069" s="2">
        <f>SUM(K6053:K6068)</f>
        <v>201250</v>
      </c>
      <c r="L6069" s="9"/>
      <c r="M6069" s="2">
        <f>SUM(M6053:M6068)</f>
        <v>0</v>
      </c>
      <c r="N6069" s="9"/>
      <c r="O6069" s="2">
        <f>SUM(O6053:O6068)</f>
        <v>0</v>
      </c>
      <c r="P6069" s="9"/>
      <c r="Q6069" s="2">
        <f t="shared" si="148"/>
        <v>0</v>
      </c>
    </row>
    <row r="6070" spans="1:17" ht="11.25" customHeight="1" x14ac:dyDescent="0.2">
      <c r="L6070" s="9"/>
      <c r="N6070" s="9"/>
      <c r="P6070" s="9"/>
    </row>
    <row r="6071" spans="1:17" ht="11.25" customHeight="1" x14ac:dyDescent="0.2">
      <c r="A6071" s="10" t="s">
        <v>305</v>
      </c>
      <c r="L6071" s="9"/>
      <c r="N6071" s="9"/>
      <c r="P6071" s="9"/>
    </row>
    <row r="6072" spans="1:17" ht="11.25" customHeight="1" x14ac:dyDescent="0.2">
      <c r="A6072" s="3" t="s">
        <v>2200</v>
      </c>
      <c r="C6072" s="2">
        <v>3170.07</v>
      </c>
      <c r="E6072" s="2">
        <v>9289.98</v>
      </c>
      <c r="G6072" s="2">
        <v>9289.98</v>
      </c>
      <c r="I6072" s="2">
        <v>4000</v>
      </c>
      <c r="K6072" s="2">
        <v>14000</v>
      </c>
      <c r="L6072" s="9"/>
      <c r="M6072" s="2">
        <v>0</v>
      </c>
      <c r="N6072" s="9"/>
      <c r="O6072" s="2">
        <v>0</v>
      </c>
      <c r="P6072" s="9"/>
      <c r="Q6072" s="2">
        <f t="shared" ref="Q6072:Q6079" si="149">M6072+O6072</f>
        <v>0</v>
      </c>
    </row>
    <row r="6073" spans="1:17" ht="11.25" customHeight="1" x14ac:dyDescent="0.2">
      <c r="A6073" s="3" t="s">
        <v>2201</v>
      </c>
      <c r="C6073" s="2">
        <v>550</v>
      </c>
      <c r="E6073" s="2">
        <v>1115</v>
      </c>
      <c r="G6073" s="2">
        <v>1115</v>
      </c>
      <c r="I6073" s="2">
        <v>1000</v>
      </c>
      <c r="K6073" s="2">
        <v>1000</v>
      </c>
      <c r="L6073" s="9"/>
      <c r="M6073" s="2">
        <v>0</v>
      </c>
      <c r="N6073" s="9"/>
      <c r="O6073" s="2">
        <v>0</v>
      </c>
      <c r="P6073" s="9"/>
      <c r="Q6073" s="2">
        <f t="shared" si="149"/>
        <v>0</v>
      </c>
    </row>
    <row r="6074" spans="1:17" ht="11.25" customHeight="1" x14ac:dyDescent="0.2">
      <c r="A6074" s="3" t="s">
        <v>2202</v>
      </c>
      <c r="C6074" s="2">
        <v>100</v>
      </c>
      <c r="E6074" s="2">
        <v>0</v>
      </c>
      <c r="G6074" s="2">
        <v>0</v>
      </c>
      <c r="I6074" s="2">
        <v>100</v>
      </c>
      <c r="K6074" s="2">
        <v>100</v>
      </c>
      <c r="L6074" s="9"/>
      <c r="M6074" s="2">
        <v>0</v>
      </c>
      <c r="N6074" s="9"/>
      <c r="O6074" s="2">
        <v>0</v>
      </c>
      <c r="P6074" s="9"/>
      <c r="Q6074" s="2">
        <f t="shared" si="149"/>
        <v>0</v>
      </c>
    </row>
    <row r="6075" spans="1:17" ht="11.25" customHeight="1" x14ac:dyDescent="0.2">
      <c r="A6075" s="3" t="s">
        <v>2203</v>
      </c>
      <c r="C6075" s="2">
        <v>0</v>
      </c>
      <c r="E6075" s="2">
        <v>33.200000000000003</v>
      </c>
      <c r="G6075" s="2">
        <v>33.200000000000003</v>
      </c>
      <c r="I6075" s="2">
        <v>250</v>
      </c>
      <c r="K6075" s="2">
        <v>250</v>
      </c>
      <c r="L6075" s="9"/>
      <c r="M6075" s="2">
        <v>0</v>
      </c>
      <c r="N6075" s="9"/>
      <c r="O6075" s="2">
        <v>0</v>
      </c>
      <c r="P6075" s="9"/>
      <c r="Q6075" s="2">
        <f t="shared" si="149"/>
        <v>0</v>
      </c>
    </row>
    <row r="6076" spans="1:17" ht="11.25" customHeight="1" x14ac:dyDescent="0.2">
      <c r="A6076" s="3" t="s">
        <v>2204</v>
      </c>
      <c r="C6076" s="2">
        <v>0</v>
      </c>
      <c r="E6076" s="2">
        <v>0</v>
      </c>
      <c r="G6076" s="2">
        <v>0</v>
      </c>
      <c r="I6076" s="2">
        <v>250</v>
      </c>
      <c r="K6076" s="2">
        <v>250</v>
      </c>
      <c r="L6076" s="9"/>
      <c r="M6076" s="2">
        <v>0</v>
      </c>
      <c r="N6076" s="9"/>
      <c r="O6076" s="2">
        <v>0</v>
      </c>
      <c r="P6076" s="9"/>
      <c r="Q6076" s="2">
        <f t="shared" si="149"/>
        <v>0</v>
      </c>
    </row>
    <row r="6077" spans="1:17" ht="11.25" customHeight="1" x14ac:dyDescent="0.2">
      <c r="A6077" s="3" t="s">
        <v>2205</v>
      </c>
      <c r="C6077" s="2">
        <v>105.38</v>
      </c>
      <c r="E6077" s="2">
        <v>383.49</v>
      </c>
      <c r="G6077" s="2">
        <v>383.49</v>
      </c>
      <c r="I6077" s="2">
        <v>300</v>
      </c>
      <c r="K6077" s="2">
        <v>300</v>
      </c>
      <c r="L6077" s="9"/>
      <c r="M6077" s="2">
        <v>0</v>
      </c>
      <c r="N6077" s="9"/>
      <c r="O6077" s="2">
        <v>0</v>
      </c>
      <c r="P6077" s="9"/>
      <c r="Q6077" s="2">
        <f>M6077+O6077</f>
        <v>0</v>
      </c>
    </row>
    <row r="6078" spans="1:17" ht="11.25" customHeight="1" x14ac:dyDescent="0.2">
      <c r="A6078" s="3" t="s">
        <v>2206</v>
      </c>
      <c r="C6078" s="2">
        <v>0</v>
      </c>
      <c r="E6078" s="2">
        <v>0</v>
      </c>
      <c r="G6078" s="2">
        <v>0</v>
      </c>
      <c r="I6078" s="2">
        <v>1000</v>
      </c>
      <c r="K6078" s="2">
        <v>1000</v>
      </c>
      <c r="L6078" s="9"/>
      <c r="M6078" s="2">
        <v>0</v>
      </c>
      <c r="N6078" s="9"/>
      <c r="O6078" s="2">
        <v>0</v>
      </c>
      <c r="P6078" s="9"/>
      <c r="Q6078" s="2">
        <f t="shared" si="149"/>
        <v>0</v>
      </c>
    </row>
    <row r="6079" spans="1:17" ht="11.25" customHeight="1" x14ac:dyDescent="0.2">
      <c r="A6079" s="3" t="s">
        <v>2207</v>
      </c>
      <c r="C6079" s="12">
        <v>3365.73</v>
      </c>
      <c r="E6079" s="12">
        <v>0</v>
      </c>
      <c r="G6079" s="12">
        <v>0</v>
      </c>
      <c r="I6079" s="12">
        <v>0</v>
      </c>
      <c r="K6079" s="12">
        <v>0</v>
      </c>
      <c r="L6079" s="9"/>
      <c r="M6079" s="12">
        <v>0</v>
      </c>
      <c r="N6079" s="9"/>
      <c r="O6079" s="12">
        <v>0</v>
      </c>
      <c r="P6079" s="9"/>
      <c r="Q6079" s="12">
        <f t="shared" si="149"/>
        <v>0</v>
      </c>
    </row>
    <row r="6080" spans="1:17" ht="11.25" hidden="1" customHeight="1" x14ac:dyDescent="0.2">
      <c r="A6080" s="3" t="s">
        <v>2208</v>
      </c>
      <c r="C6080" s="12">
        <v>0</v>
      </c>
      <c r="E6080" s="12">
        <v>0</v>
      </c>
      <c r="G6080" s="12">
        <v>0</v>
      </c>
      <c r="I6080" s="12">
        <v>0</v>
      </c>
      <c r="K6080" s="12">
        <v>0</v>
      </c>
      <c r="L6080" s="9"/>
      <c r="M6080" s="12">
        <v>0</v>
      </c>
      <c r="N6080" s="9"/>
      <c r="O6080" s="12">
        <v>0</v>
      </c>
      <c r="P6080" s="9"/>
      <c r="Q6080" s="12">
        <f>M6080+O6080</f>
        <v>0</v>
      </c>
    </row>
    <row r="6081" spans="1:17" ht="11.25" customHeight="1" x14ac:dyDescent="0.2">
      <c r="A6081" s="3" t="s">
        <v>328</v>
      </c>
      <c r="C6081" s="2">
        <f>SUM(C6072:C6080)</f>
        <v>7291.18</v>
      </c>
      <c r="E6081" s="2">
        <f>SUM(E6072:E6080)</f>
        <v>10821.67</v>
      </c>
      <c r="G6081" s="2">
        <f>SUM(G6072:G6080)</f>
        <v>10821.67</v>
      </c>
      <c r="I6081" s="2">
        <f>SUM(I6072:I6080)</f>
        <v>6900</v>
      </c>
      <c r="K6081" s="2">
        <f>SUM(K6072:K6080)</f>
        <v>16900</v>
      </c>
      <c r="L6081" s="9"/>
      <c r="M6081" s="2">
        <f>SUM(M6072:M6080)</f>
        <v>0</v>
      </c>
      <c r="N6081" s="9"/>
      <c r="O6081" s="2">
        <f>SUM(O6072:O6080)</f>
        <v>0</v>
      </c>
      <c r="P6081" s="9"/>
      <c r="Q6081" s="2">
        <f>SUM(Q6072:Q6080)</f>
        <v>0</v>
      </c>
    </row>
    <row r="6082" spans="1:17" ht="11.25" customHeight="1" x14ac:dyDescent="0.2">
      <c r="L6082" s="9"/>
      <c r="N6082" s="9"/>
      <c r="P6082" s="9"/>
    </row>
    <row r="6083" spans="1:17" ht="11.25" customHeight="1" x14ac:dyDescent="0.2">
      <c r="A6083" s="3" t="s">
        <v>2209</v>
      </c>
      <c r="C6083" s="12">
        <v>0</v>
      </c>
      <c r="E6083" s="12">
        <v>0</v>
      </c>
      <c r="G6083" s="12">
        <v>0</v>
      </c>
      <c r="I6083" s="12">
        <v>0</v>
      </c>
      <c r="K6083" s="12">
        <v>0</v>
      </c>
      <c r="L6083" s="9"/>
      <c r="M6083" s="12">
        <v>0</v>
      </c>
      <c r="N6083" s="9"/>
      <c r="O6083" s="12">
        <v>0</v>
      </c>
      <c r="P6083" s="9"/>
      <c r="Q6083" s="12">
        <f>+M6083+O6083</f>
        <v>0</v>
      </c>
    </row>
    <row r="6084" spans="1:17" ht="11.25" customHeight="1" x14ac:dyDescent="0.2">
      <c r="A6084" s="3" t="s">
        <v>2210</v>
      </c>
      <c r="C6084" s="2">
        <f>+C6083</f>
        <v>0</v>
      </c>
      <c r="E6084" s="2">
        <f>+E6083</f>
        <v>0</v>
      </c>
      <c r="G6084" s="2">
        <f>+G6083</f>
        <v>0</v>
      </c>
      <c r="I6084" s="2">
        <f>+I6083</f>
        <v>0</v>
      </c>
      <c r="K6084" s="2">
        <f>+K6083</f>
        <v>0</v>
      </c>
      <c r="L6084" s="9"/>
      <c r="M6084" s="2">
        <f>+M6083</f>
        <v>0</v>
      </c>
      <c r="N6084" s="9"/>
      <c r="O6084" s="2">
        <f>+O6083</f>
        <v>0</v>
      </c>
      <c r="P6084" s="9"/>
      <c r="Q6084" s="2">
        <f>+Q6083</f>
        <v>0</v>
      </c>
    </row>
    <row r="6085" spans="1:17" ht="11.25" customHeight="1" x14ac:dyDescent="0.2">
      <c r="L6085" s="9"/>
      <c r="N6085" s="9"/>
      <c r="P6085" s="9"/>
    </row>
    <row r="6086" spans="1:17" ht="11.25" customHeight="1" x14ac:dyDescent="0.2">
      <c r="A6086" s="3" t="s">
        <v>2211</v>
      </c>
      <c r="L6086" s="9"/>
      <c r="N6086" s="9"/>
      <c r="P6086" s="9"/>
    </row>
    <row r="6087" spans="1:17" ht="11.25" customHeight="1" x14ac:dyDescent="0.2">
      <c r="A6087" s="3" t="s">
        <v>2212</v>
      </c>
      <c r="C6087" s="12">
        <v>0</v>
      </c>
      <c r="E6087" s="12">
        <v>73078.17</v>
      </c>
      <c r="G6087" s="12">
        <v>73078.17</v>
      </c>
      <c r="I6087" s="12">
        <v>0</v>
      </c>
      <c r="K6087" s="12">
        <v>0</v>
      </c>
      <c r="L6087" s="9"/>
      <c r="M6087" s="12">
        <v>0</v>
      </c>
      <c r="N6087" s="9"/>
      <c r="O6087" s="12">
        <v>0</v>
      </c>
      <c r="P6087" s="9"/>
      <c r="Q6087" s="12">
        <f>+M6087+O6087</f>
        <v>0</v>
      </c>
    </row>
    <row r="6088" spans="1:17" ht="11.25" customHeight="1" x14ac:dyDescent="0.2">
      <c r="A6088" s="3" t="s">
        <v>2213</v>
      </c>
      <c r="C6088" s="2">
        <f>+C6087</f>
        <v>0</v>
      </c>
      <c r="E6088" s="2">
        <f>+E6087</f>
        <v>73078.17</v>
      </c>
      <c r="G6088" s="2">
        <f>+G6087</f>
        <v>73078.17</v>
      </c>
      <c r="I6088" s="2">
        <f>+I6087</f>
        <v>0</v>
      </c>
      <c r="K6088" s="2">
        <f>+K6087</f>
        <v>0</v>
      </c>
      <c r="L6088" s="9"/>
      <c r="M6088" s="2">
        <f>+M6087</f>
        <v>0</v>
      </c>
      <c r="N6088" s="9"/>
      <c r="O6088" s="2">
        <f>+O6087</f>
        <v>0</v>
      </c>
      <c r="P6088" s="9"/>
      <c r="Q6088" s="2">
        <f>+M6088+O6088</f>
        <v>0</v>
      </c>
    </row>
    <row r="6089" spans="1:17" ht="11.25" customHeight="1" x14ac:dyDescent="0.2">
      <c r="L6089" s="9"/>
      <c r="N6089" s="9"/>
      <c r="P6089" s="9"/>
    </row>
    <row r="6090" spans="1:17" ht="11.25" customHeight="1" x14ac:dyDescent="0.2">
      <c r="L6090" s="9"/>
      <c r="N6090" s="9"/>
      <c r="P6090" s="9"/>
    </row>
    <row r="6091" spans="1:17" ht="11.25" customHeight="1" x14ac:dyDescent="0.2">
      <c r="A6091" s="3" t="s">
        <v>2214</v>
      </c>
      <c r="C6091" s="2">
        <f>C6069+C6081+C6084+C6088</f>
        <v>817992.97000000009</v>
      </c>
      <c r="E6091" s="2">
        <f>E6069+E6081+E6084+E6088</f>
        <v>293431.84000000003</v>
      </c>
      <c r="G6091" s="2">
        <f>G6069+G6081+G6084+G6088</f>
        <v>293431.84000000003</v>
      </c>
      <c r="I6091" s="2">
        <f>I6069+I6081+I6084+I6088</f>
        <v>181650</v>
      </c>
      <c r="K6091" s="2">
        <f>K6069+K6081+K6084+K6088</f>
        <v>218150</v>
      </c>
      <c r="L6091" s="9"/>
      <c r="M6091" s="2">
        <f>M6069+M6081+M6084+M6088</f>
        <v>0</v>
      </c>
      <c r="N6091" s="2"/>
      <c r="O6091" s="2">
        <f>O6069+O6081+O6084+O6088</f>
        <v>0</v>
      </c>
      <c r="P6091" s="2"/>
      <c r="Q6091" s="2">
        <f>Q6069+Q6081+Q6084+Q6088</f>
        <v>0</v>
      </c>
    </row>
    <row r="6092" spans="1:17" ht="11.25" customHeight="1" x14ac:dyDescent="0.2"/>
    <row r="6093" spans="1:17" ht="11.25" customHeight="1" x14ac:dyDescent="0.2"/>
    <row r="6094" spans="1:17" ht="11.25" customHeight="1" x14ac:dyDescent="0.2"/>
    <row r="6095" spans="1:17" ht="11.25" customHeight="1" x14ac:dyDescent="0.2"/>
    <row r="6096" spans="1:17" ht="11.25" customHeight="1" x14ac:dyDescent="0.2"/>
    <row r="6097" ht="11.25" customHeight="1" x14ac:dyDescent="0.2"/>
    <row r="6098" ht="11.25" customHeight="1" x14ac:dyDescent="0.2"/>
    <row r="6099" ht="11.25" customHeight="1" x14ac:dyDescent="0.2"/>
    <row r="6100" ht="11.25" customHeight="1" x14ac:dyDescent="0.2"/>
    <row r="6101" ht="11.25" customHeight="1" x14ac:dyDescent="0.2"/>
    <row r="6102" ht="11.25" customHeight="1" x14ac:dyDescent="0.2"/>
    <row r="6103" ht="11.25" customHeight="1" x14ac:dyDescent="0.2"/>
    <row r="6104" ht="11.25" customHeight="1" x14ac:dyDescent="0.2"/>
    <row r="6105" ht="11.25" customHeight="1" x14ac:dyDescent="0.2"/>
    <row r="6106" ht="11.25" customHeight="1" x14ac:dyDescent="0.2"/>
    <row r="6107" ht="11.25" customHeight="1" x14ac:dyDescent="0.2"/>
    <row r="6108" ht="11.25" customHeight="1" x14ac:dyDescent="0.2"/>
    <row r="6109" ht="11.25" customHeight="1" x14ac:dyDescent="0.2"/>
    <row r="6110" ht="11.25" customHeight="1" x14ac:dyDescent="0.2"/>
    <row r="6111" ht="11.25" customHeight="1" x14ac:dyDescent="0.2"/>
    <row r="6112" ht="11.25" customHeight="1" x14ac:dyDescent="0.2"/>
    <row r="6113" spans="1:20" ht="11.25" customHeight="1" x14ac:dyDescent="0.2"/>
    <row r="6114" spans="1:20" ht="11.25" customHeight="1" x14ac:dyDescent="0.2"/>
    <row r="6115" spans="1:20" ht="11.25" customHeight="1" x14ac:dyDescent="0.2"/>
    <row r="6116" spans="1:20" ht="11.25" customHeight="1" x14ac:dyDescent="0.2"/>
    <row r="6117" spans="1:20" ht="11.25" customHeight="1" x14ac:dyDescent="0.2">
      <c r="A6117" s="1"/>
      <c r="B6117" s="1"/>
      <c r="E6117" s="2" t="str">
        <f>$E$1</f>
        <v>CITY OF BRADY</v>
      </c>
    </row>
    <row r="6118" spans="1:20" ht="11.25" customHeight="1" x14ac:dyDescent="0.2">
      <c r="E6118" s="2" t="str">
        <f>$E$2</f>
        <v>BUDGET REPORT</v>
      </c>
    </row>
    <row r="6119" spans="1:20" ht="11.25" customHeight="1" x14ac:dyDescent="0.2">
      <c r="E6119" s="2" t="str">
        <f>$E$3</f>
        <v>FISCAL YEAR 2024 - 2025</v>
      </c>
    </row>
    <row r="6120" spans="1:20" ht="11.25" customHeight="1" x14ac:dyDescent="0.2">
      <c r="A6120" s="3" t="s">
        <v>2171</v>
      </c>
    </row>
    <row r="6121" spans="1:20" ht="11.25" customHeight="1" x14ac:dyDescent="0.2"/>
    <row r="6122" spans="1:20" ht="11.25" customHeight="1" x14ac:dyDescent="0.2">
      <c r="I6122" s="53" t="str">
        <f>$I$6</f>
        <v>(----- 2023-2024------)</v>
      </c>
      <c r="J6122" s="53"/>
      <c r="K6122" s="53"/>
      <c r="L6122" s="6"/>
      <c r="M6122" s="54" t="str">
        <f>$M$6</f>
        <v>2024-2025</v>
      </c>
      <c r="N6122" s="54"/>
      <c r="O6122" s="54"/>
      <c r="P6122" s="54"/>
      <c r="Q6122" s="54"/>
    </row>
    <row r="6123" spans="1:20" ht="11.25" customHeight="1" x14ac:dyDescent="0.2">
      <c r="C6123" s="5" t="str">
        <f>$C$7</f>
        <v>2020-2021</v>
      </c>
      <c r="D6123" s="5"/>
      <c r="E6123" s="5" t="str">
        <f>$E$7</f>
        <v>2021-2022</v>
      </c>
      <c r="F6123" s="5"/>
      <c r="G6123" s="5" t="str">
        <f>$G$7</f>
        <v>2022-2023</v>
      </c>
      <c r="H6123" s="5"/>
      <c r="I6123" s="5" t="s">
        <v>9</v>
      </c>
      <c r="J6123" s="5"/>
      <c r="K6123" s="5" t="str">
        <f>+$K$7</f>
        <v>PROJECTED</v>
      </c>
      <c r="L6123" s="6"/>
      <c r="M6123" s="5">
        <f>$M$7</f>
        <v>0</v>
      </c>
      <c r="N6123" s="6"/>
      <c r="O6123" s="5" t="str">
        <f>$O$7</f>
        <v>2024-2025</v>
      </c>
      <c r="P6123" s="6"/>
      <c r="Q6123" s="5" t="str">
        <f>$Q$7</f>
        <v>APPROVED</v>
      </c>
    </row>
    <row r="6124" spans="1:20" ht="11.25" customHeight="1" x14ac:dyDescent="0.2">
      <c r="A6124" s="7" t="s">
        <v>273</v>
      </c>
      <c r="C6124" s="8" t="s">
        <v>12</v>
      </c>
      <c r="D6124" s="5"/>
      <c r="E6124" s="8" t="s">
        <v>12</v>
      </c>
      <c r="F6124" s="5"/>
      <c r="G6124" s="8" t="s">
        <v>12</v>
      </c>
      <c r="H6124" s="5"/>
      <c r="I6124" s="8" t="s">
        <v>13</v>
      </c>
      <c r="J6124" s="5"/>
      <c r="K6124" s="8" t="s">
        <v>13</v>
      </c>
      <c r="L6124" s="6"/>
      <c r="M6124" s="8" t="str">
        <f>$M$8</f>
        <v>BASE</v>
      </c>
      <c r="N6124" s="6"/>
      <c r="O6124" s="8" t="str">
        <f>$O$8</f>
        <v>SUPPLEMENTAL</v>
      </c>
      <c r="P6124" s="6"/>
      <c r="Q6124" s="8" t="str">
        <f>$Q$8</f>
        <v>BUDGET</v>
      </c>
    </row>
    <row r="6125" spans="1:20" s="39" customFormat="1" ht="10.15" customHeight="1" x14ac:dyDescent="0.25">
      <c r="C6125" s="40"/>
      <c r="D6125" s="40"/>
      <c r="E6125" s="40"/>
      <c r="F6125" s="40"/>
      <c r="G6125" s="40"/>
      <c r="H6125" s="40"/>
      <c r="I6125" s="40"/>
      <c r="J6125" s="40"/>
      <c r="K6125" s="40"/>
      <c r="M6125" s="40"/>
      <c r="O6125" s="40"/>
      <c r="Q6125" s="40"/>
      <c r="S6125" s="40"/>
      <c r="T6125" s="4"/>
    </row>
    <row r="6126" spans="1:20" s="39" customFormat="1" ht="11.25" customHeight="1" x14ac:dyDescent="0.25">
      <c r="C6126" s="40"/>
      <c r="D6126" s="40"/>
      <c r="E6126" s="40"/>
      <c r="F6126" s="40"/>
      <c r="G6126" s="40"/>
      <c r="H6126" s="40"/>
      <c r="I6126" s="40"/>
      <c r="J6126" s="40"/>
      <c r="K6126" s="40"/>
      <c r="L6126" s="41"/>
      <c r="M6126" s="40"/>
      <c r="N6126" s="41"/>
      <c r="O6126" s="40"/>
      <c r="P6126" s="41"/>
      <c r="Q6126" s="40"/>
      <c r="S6126" s="40"/>
      <c r="T6126" s="4"/>
    </row>
    <row r="6127" spans="1:20" s="39" customFormat="1" ht="11.25" customHeight="1" thickBot="1" x14ac:dyDescent="0.3">
      <c r="A6127" s="3" t="s">
        <v>1123</v>
      </c>
      <c r="B6127" s="3"/>
      <c r="C6127" s="25">
        <f>C6091</f>
        <v>817992.97000000009</v>
      </c>
      <c r="D6127" s="2"/>
      <c r="E6127" s="25">
        <f>E6091</f>
        <v>293431.84000000003</v>
      </c>
      <c r="F6127" s="2"/>
      <c r="G6127" s="25">
        <f>G6091</f>
        <v>293431.84000000003</v>
      </c>
      <c r="H6127" s="2"/>
      <c r="I6127" s="25">
        <f>I6091</f>
        <v>181650</v>
      </c>
      <c r="J6127" s="2"/>
      <c r="K6127" s="25">
        <f>K6091</f>
        <v>218150</v>
      </c>
      <c r="L6127" s="9"/>
      <c r="M6127" s="25">
        <f>M6091</f>
        <v>0</v>
      </c>
      <c r="N6127" s="9"/>
      <c r="O6127" s="25">
        <f>O6091</f>
        <v>0</v>
      </c>
      <c r="P6127" s="9"/>
      <c r="Q6127" s="25">
        <f>Q6091</f>
        <v>0</v>
      </c>
      <c r="R6127" s="3"/>
      <c r="S6127" s="40"/>
      <c r="T6127" s="4"/>
    </row>
    <row r="6128" spans="1:20" s="39" customFormat="1" ht="11.25" customHeight="1" thickTop="1" x14ac:dyDescent="0.25">
      <c r="A6128" s="3"/>
      <c r="B6128" s="3"/>
      <c r="C6128" s="2"/>
      <c r="D6128" s="2"/>
      <c r="E6128" s="2"/>
      <c r="F6128" s="2"/>
      <c r="G6128" s="2"/>
      <c r="H6128" s="2"/>
      <c r="I6128" s="2"/>
      <c r="J6128" s="2"/>
      <c r="K6128" s="2"/>
      <c r="L6128" s="9"/>
      <c r="M6128" s="2"/>
      <c r="N6128" s="9"/>
      <c r="O6128" s="2"/>
      <c r="P6128" s="9"/>
      <c r="Q6128" s="2"/>
      <c r="R6128" s="3"/>
      <c r="S6128" s="40"/>
      <c r="T6128" s="4"/>
    </row>
    <row r="6129" spans="1:20" s="39" customFormat="1" ht="11.25" customHeight="1" thickBot="1" x14ac:dyDescent="0.3">
      <c r="A6129" s="3" t="s">
        <v>1124</v>
      </c>
      <c r="B6129" s="3"/>
      <c r="C6129" s="25">
        <f>C6005-C6127</f>
        <v>-534600.09000000008</v>
      </c>
      <c r="D6129" s="2"/>
      <c r="E6129" s="25">
        <f>E6005-E6127</f>
        <v>808.87999999994645</v>
      </c>
      <c r="F6129" s="2"/>
      <c r="G6129" s="25">
        <f>G6005-G6127</f>
        <v>808.87999999994645</v>
      </c>
      <c r="H6129" s="2"/>
      <c r="I6129" s="25">
        <f>I6005-I6127</f>
        <v>68650</v>
      </c>
      <c r="J6129" s="2"/>
      <c r="K6129" s="25">
        <f>K6005-K6127</f>
        <v>20192</v>
      </c>
      <c r="L6129" s="9"/>
      <c r="M6129" s="25">
        <f>M6005-M6127</f>
        <v>0</v>
      </c>
      <c r="N6129" s="9"/>
      <c r="O6129" s="36">
        <f>O6005-O6127</f>
        <v>0</v>
      </c>
      <c r="P6129" s="9"/>
      <c r="Q6129" s="25">
        <f>Q6005-Q6127</f>
        <v>0</v>
      </c>
      <c r="R6129" s="3"/>
      <c r="S6129" s="40"/>
      <c r="T6129" s="4"/>
    </row>
    <row r="6130" spans="1:20" s="39" customFormat="1" ht="11.25" customHeight="1" thickTop="1" x14ac:dyDescent="0.25">
      <c r="A6130" s="3"/>
      <c r="B6130" s="3"/>
      <c r="C6130" s="2"/>
      <c r="D6130" s="2"/>
      <c r="E6130" s="2"/>
      <c r="F6130" s="2"/>
      <c r="G6130" s="2"/>
      <c r="H6130" s="2"/>
      <c r="I6130" s="2"/>
      <c r="J6130" s="2"/>
      <c r="K6130" s="2"/>
      <c r="L6130" s="9"/>
      <c r="M6130" s="2"/>
      <c r="N6130" s="9"/>
      <c r="O6130" s="2"/>
      <c r="P6130" s="9"/>
      <c r="Q6130" s="2"/>
      <c r="R6130" s="3"/>
      <c r="S6130" s="40"/>
      <c r="T6130" s="4"/>
    </row>
    <row r="6131" spans="1:20" s="39" customFormat="1" ht="11.25" customHeight="1" x14ac:dyDescent="0.25">
      <c r="A6131" s="3"/>
      <c r="B6131" s="3"/>
      <c r="C6131" s="2"/>
      <c r="D6131" s="2"/>
      <c r="E6131" s="2"/>
      <c r="F6131" s="2"/>
      <c r="G6131" s="2"/>
      <c r="H6131" s="2"/>
      <c r="I6131" s="2"/>
      <c r="J6131" s="2"/>
      <c r="K6131" s="2"/>
      <c r="L6131" s="9"/>
      <c r="M6131" s="2"/>
      <c r="N6131" s="9"/>
      <c r="O6131" s="2"/>
      <c r="P6131" s="9"/>
      <c r="Q6131" s="2"/>
      <c r="R6131" s="3"/>
      <c r="S6131" s="40"/>
      <c r="T6131" s="4"/>
    </row>
    <row r="6132" spans="1:20" s="39" customFormat="1" ht="11.25" customHeight="1" x14ac:dyDescent="0.25">
      <c r="A6132" s="3" t="s">
        <v>1125</v>
      </c>
      <c r="B6132" s="3"/>
      <c r="C6132" s="2"/>
      <c r="D6132" s="2"/>
      <c r="E6132" s="2"/>
      <c r="F6132" s="2"/>
      <c r="G6132" s="2"/>
      <c r="H6132" s="2"/>
      <c r="I6132" s="2"/>
      <c r="J6132" s="2"/>
      <c r="K6132" s="2"/>
      <c r="L6132" s="9"/>
      <c r="M6132" s="2"/>
      <c r="N6132" s="9"/>
      <c r="O6132" s="2"/>
      <c r="P6132" s="9"/>
      <c r="Q6132" s="2"/>
      <c r="R6132" s="3"/>
      <c r="S6132" s="40"/>
      <c r="T6132" s="4"/>
    </row>
    <row r="6133" spans="1:20" s="39" customFormat="1" ht="11.25" customHeight="1" thickBot="1" x14ac:dyDescent="0.3">
      <c r="A6133" s="3" t="s">
        <v>17</v>
      </c>
      <c r="B6133" s="3"/>
      <c r="C6133" s="25">
        <f>C5987+C6005-C6091</f>
        <v>504909.94999999984</v>
      </c>
      <c r="D6133" s="2"/>
      <c r="E6133" s="25">
        <f>E5987+E6005-E6091</f>
        <v>505718.82999999978</v>
      </c>
      <c r="F6133" s="2"/>
      <c r="G6133" s="25">
        <f>G5987+G6005-G6091</f>
        <v>506527.70999999979</v>
      </c>
      <c r="H6133" s="2"/>
      <c r="I6133" s="25">
        <f>I5987+I6005-I6091</f>
        <v>575177.70999999973</v>
      </c>
      <c r="J6133" s="2"/>
      <c r="K6133" s="25">
        <f>K5987+K6005-K6091</f>
        <v>526719.70999999973</v>
      </c>
      <c r="L6133" s="9"/>
      <c r="M6133" s="25">
        <f>M5987+M6005-M6091</f>
        <v>526719.70999999973</v>
      </c>
      <c r="N6133" s="9"/>
      <c r="O6133" s="2"/>
      <c r="P6133" s="9"/>
      <c r="Q6133" s="25">
        <f>Q5987+Q6005-Q6091</f>
        <v>526719.70999999973</v>
      </c>
      <c r="R6133" s="3"/>
      <c r="S6133" s="40"/>
      <c r="T6133" s="4"/>
    </row>
    <row r="6134" spans="1:20" s="39" customFormat="1" ht="11.25" customHeight="1" thickTop="1" x14ac:dyDescent="0.25">
      <c r="A6134" s="3"/>
      <c r="B6134" s="3"/>
      <c r="C6134" s="2"/>
      <c r="D6134" s="2"/>
      <c r="E6134" s="2"/>
      <c r="F6134" s="2"/>
      <c r="G6134" s="2"/>
      <c r="H6134" s="2"/>
      <c r="I6134" s="2"/>
      <c r="J6134" s="2"/>
      <c r="K6134" s="2"/>
      <c r="L6134" s="9"/>
      <c r="M6134" s="2"/>
      <c r="N6134" s="9"/>
      <c r="O6134" s="2"/>
      <c r="P6134" s="9"/>
      <c r="Q6134" s="2"/>
      <c r="R6134" s="3"/>
      <c r="S6134" s="40"/>
      <c r="T6134" s="4"/>
    </row>
    <row r="6135" spans="1:20" s="39" customFormat="1" ht="11.25" customHeight="1" x14ac:dyDescent="0.25">
      <c r="A6135" s="3"/>
      <c r="B6135" s="3"/>
      <c r="C6135" s="2"/>
      <c r="D6135" s="2"/>
      <c r="E6135" s="2"/>
      <c r="F6135" s="2"/>
      <c r="G6135" s="2"/>
      <c r="H6135" s="2"/>
      <c r="I6135" s="2"/>
      <c r="J6135" s="2"/>
      <c r="K6135" s="2"/>
      <c r="L6135" s="9"/>
      <c r="M6135" s="2"/>
      <c r="N6135" s="9"/>
      <c r="O6135" s="2"/>
      <c r="P6135" s="9"/>
      <c r="Q6135" s="2"/>
      <c r="R6135" s="3"/>
      <c r="S6135" s="40"/>
      <c r="T6135" s="4"/>
    </row>
    <row r="6136" spans="1:20" s="39" customFormat="1" ht="11.25" customHeight="1" x14ac:dyDescent="0.25">
      <c r="A6136" s="3"/>
      <c r="B6136" s="3"/>
      <c r="C6136" s="2"/>
      <c r="D6136" s="2"/>
      <c r="E6136" s="2"/>
      <c r="F6136" s="2"/>
      <c r="G6136" s="2"/>
      <c r="H6136" s="2"/>
      <c r="I6136" s="2"/>
      <c r="J6136" s="2"/>
      <c r="K6136" s="2"/>
      <c r="L6136" s="9"/>
      <c r="M6136" s="2"/>
      <c r="N6136" s="9"/>
      <c r="O6136" s="2"/>
      <c r="P6136" s="9"/>
      <c r="Q6136" s="2"/>
      <c r="R6136" s="3"/>
      <c r="S6136" s="40"/>
      <c r="T6136" s="4"/>
    </row>
    <row r="6137" spans="1:20" s="39" customFormat="1" ht="11.25" customHeight="1" x14ac:dyDescent="0.25">
      <c r="A6137" s="3"/>
      <c r="B6137" s="3"/>
      <c r="C6137" s="2"/>
      <c r="D6137" s="2"/>
      <c r="E6137" s="2"/>
      <c r="F6137" s="2"/>
      <c r="G6137" s="2"/>
      <c r="H6137" s="2"/>
      <c r="I6137" s="2"/>
      <c r="J6137" s="2"/>
      <c r="K6137" s="2"/>
      <c r="L6137" s="9"/>
      <c r="M6137" s="2"/>
      <c r="N6137" s="9"/>
      <c r="O6137" s="2"/>
      <c r="P6137" s="9"/>
      <c r="Q6137" s="2"/>
      <c r="R6137" s="3"/>
      <c r="S6137" s="40"/>
      <c r="T6137" s="4"/>
    </row>
    <row r="6138" spans="1:20" s="39" customFormat="1" ht="11.25" customHeight="1" x14ac:dyDescent="0.25">
      <c r="A6138" s="3"/>
      <c r="B6138" s="3"/>
      <c r="C6138" s="2"/>
      <c r="D6138" s="2"/>
      <c r="E6138" s="2"/>
      <c r="F6138" s="2"/>
      <c r="G6138" s="2"/>
      <c r="H6138" s="2"/>
      <c r="I6138" s="2"/>
      <c r="J6138" s="2"/>
      <c r="K6138" s="2"/>
      <c r="L6138" s="9"/>
      <c r="M6138" s="2"/>
      <c r="N6138" s="9"/>
      <c r="O6138" s="2"/>
      <c r="P6138" s="9"/>
      <c r="Q6138" s="2"/>
      <c r="R6138" s="3"/>
      <c r="S6138" s="40"/>
      <c r="T6138" s="4"/>
    </row>
    <row r="6139" spans="1:20" s="39" customFormat="1" ht="11.25" customHeight="1" x14ac:dyDescent="0.25">
      <c r="A6139" s="3"/>
      <c r="B6139" s="3"/>
      <c r="C6139" s="2"/>
      <c r="D6139" s="2"/>
      <c r="E6139" s="2"/>
      <c r="F6139" s="2"/>
      <c r="G6139" s="2"/>
      <c r="H6139" s="2"/>
      <c r="I6139" s="2"/>
      <c r="J6139" s="2"/>
      <c r="K6139" s="2"/>
      <c r="L6139" s="9"/>
      <c r="M6139" s="2"/>
      <c r="N6139" s="9"/>
      <c r="O6139" s="2"/>
      <c r="P6139" s="9"/>
      <c r="Q6139" s="2"/>
      <c r="R6139" s="3"/>
      <c r="S6139" s="40"/>
      <c r="T6139" s="4"/>
    </row>
    <row r="6140" spans="1:20" s="39" customFormat="1" ht="11.25" customHeight="1" x14ac:dyDescent="0.25">
      <c r="A6140" s="3"/>
      <c r="B6140" s="3"/>
      <c r="C6140" s="2"/>
      <c r="D6140" s="2"/>
      <c r="E6140" s="2"/>
      <c r="F6140" s="2"/>
      <c r="G6140" s="2"/>
      <c r="H6140" s="2"/>
      <c r="I6140" s="2"/>
      <c r="J6140" s="2"/>
      <c r="K6140" s="2"/>
      <c r="L6140" s="9"/>
      <c r="M6140" s="2"/>
      <c r="N6140" s="9"/>
      <c r="O6140" s="2"/>
      <c r="P6140" s="9"/>
      <c r="Q6140" s="2"/>
      <c r="R6140" s="3"/>
      <c r="S6140" s="40"/>
      <c r="T6140" s="4"/>
    </row>
    <row r="6141" spans="1:20" s="39" customFormat="1" ht="11.25" customHeight="1" x14ac:dyDescent="0.25">
      <c r="A6141" s="3"/>
      <c r="B6141" s="3"/>
      <c r="C6141" s="2"/>
      <c r="D6141" s="2"/>
      <c r="E6141" s="2"/>
      <c r="F6141" s="2"/>
      <c r="G6141" s="2"/>
      <c r="H6141" s="2"/>
      <c r="I6141" s="2"/>
      <c r="J6141" s="2"/>
      <c r="K6141" s="2"/>
      <c r="L6141" s="9"/>
      <c r="M6141" s="2"/>
      <c r="N6141" s="9"/>
      <c r="O6141" s="2"/>
      <c r="P6141" s="9"/>
      <c r="Q6141" s="2"/>
      <c r="R6141" s="3"/>
      <c r="S6141" s="40"/>
      <c r="T6141" s="4"/>
    </row>
    <row r="6142" spans="1:20" s="39" customFormat="1" ht="11.25" customHeight="1" x14ac:dyDescent="0.25">
      <c r="A6142" s="3"/>
      <c r="B6142" s="3"/>
      <c r="C6142" s="2"/>
      <c r="D6142" s="2"/>
      <c r="E6142" s="2"/>
      <c r="F6142" s="2"/>
      <c r="G6142" s="2"/>
      <c r="H6142" s="2"/>
      <c r="I6142" s="2"/>
      <c r="J6142" s="2"/>
      <c r="K6142" s="2"/>
      <c r="L6142" s="9"/>
      <c r="M6142" s="2"/>
      <c r="N6142" s="9"/>
      <c r="O6142" s="2"/>
      <c r="P6142" s="9"/>
      <c r="Q6142" s="2"/>
      <c r="R6142" s="3"/>
      <c r="S6142" s="40"/>
      <c r="T6142" s="4"/>
    </row>
    <row r="6143" spans="1:20" s="39" customFormat="1" ht="11.25" customHeight="1" x14ac:dyDescent="0.25">
      <c r="A6143" s="3"/>
      <c r="B6143" s="3"/>
      <c r="C6143" s="2"/>
      <c r="D6143" s="2"/>
      <c r="E6143" s="2"/>
      <c r="F6143" s="2"/>
      <c r="G6143" s="2"/>
      <c r="H6143" s="2"/>
      <c r="I6143" s="2"/>
      <c r="J6143" s="2"/>
      <c r="K6143" s="2"/>
      <c r="L6143" s="9"/>
      <c r="M6143" s="2"/>
      <c r="N6143" s="9"/>
      <c r="O6143" s="2"/>
      <c r="P6143" s="9"/>
      <c r="Q6143" s="2"/>
      <c r="R6143" s="3"/>
      <c r="S6143" s="40"/>
      <c r="T6143" s="4"/>
    </row>
    <row r="6144" spans="1:20" s="39" customFormat="1" ht="11.25" customHeight="1" x14ac:dyDescent="0.25">
      <c r="A6144" s="3"/>
      <c r="B6144" s="3"/>
      <c r="C6144" s="2"/>
      <c r="D6144" s="2"/>
      <c r="E6144" s="2"/>
      <c r="F6144" s="2"/>
      <c r="G6144" s="2"/>
      <c r="H6144" s="2"/>
      <c r="I6144" s="2"/>
      <c r="J6144" s="2"/>
      <c r="K6144" s="2"/>
      <c r="L6144" s="9"/>
      <c r="M6144" s="2"/>
      <c r="N6144" s="9"/>
      <c r="O6144" s="2"/>
      <c r="P6144" s="9"/>
      <c r="Q6144" s="2"/>
      <c r="R6144" s="3"/>
      <c r="S6144" s="40"/>
      <c r="T6144" s="4"/>
    </row>
    <row r="6145" spans="1:20" s="39" customFormat="1" ht="11.25" customHeight="1" x14ac:dyDescent="0.25">
      <c r="A6145" s="3"/>
      <c r="B6145" s="3"/>
      <c r="C6145" s="2"/>
      <c r="D6145" s="2"/>
      <c r="E6145" s="2"/>
      <c r="F6145" s="2"/>
      <c r="G6145" s="2"/>
      <c r="H6145" s="2"/>
      <c r="I6145" s="2"/>
      <c r="J6145" s="2"/>
      <c r="K6145" s="2"/>
      <c r="L6145" s="9"/>
      <c r="M6145" s="2"/>
      <c r="N6145" s="9"/>
      <c r="O6145" s="2"/>
      <c r="P6145" s="9"/>
      <c r="Q6145" s="2"/>
      <c r="R6145" s="3"/>
      <c r="S6145" s="40"/>
      <c r="T6145" s="4"/>
    </row>
    <row r="6146" spans="1:20" s="39" customFormat="1" ht="11.25" customHeight="1" x14ac:dyDescent="0.25">
      <c r="A6146" s="3"/>
      <c r="B6146" s="3"/>
      <c r="C6146" s="2"/>
      <c r="D6146" s="2"/>
      <c r="E6146" s="2"/>
      <c r="F6146" s="2"/>
      <c r="G6146" s="2"/>
      <c r="H6146" s="2"/>
      <c r="I6146" s="2"/>
      <c r="J6146" s="2"/>
      <c r="K6146" s="2"/>
      <c r="L6146" s="9"/>
      <c r="M6146" s="2"/>
      <c r="N6146" s="9"/>
      <c r="O6146" s="2"/>
      <c r="P6146" s="9"/>
      <c r="Q6146" s="2"/>
      <c r="R6146" s="3"/>
      <c r="S6146" s="40"/>
      <c r="T6146" s="4"/>
    </row>
    <row r="6147" spans="1:20" s="39" customFormat="1" ht="11.25" customHeight="1" x14ac:dyDescent="0.25">
      <c r="A6147" s="3"/>
      <c r="B6147" s="3"/>
      <c r="C6147" s="2"/>
      <c r="D6147" s="2"/>
      <c r="E6147" s="2"/>
      <c r="F6147" s="2"/>
      <c r="G6147" s="2"/>
      <c r="H6147" s="2"/>
      <c r="I6147" s="2"/>
      <c r="J6147" s="2"/>
      <c r="K6147" s="2"/>
      <c r="L6147" s="9"/>
      <c r="M6147" s="2"/>
      <c r="N6147" s="9"/>
      <c r="O6147" s="2"/>
      <c r="P6147" s="9"/>
      <c r="Q6147" s="2"/>
      <c r="R6147" s="3"/>
      <c r="S6147" s="40"/>
      <c r="T6147" s="4"/>
    </row>
    <row r="6148" spans="1:20" s="39" customFormat="1" ht="11.25" customHeight="1" x14ac:dyDescent="0.25">
      <c r="A6148" s="3"/>
      <c r="B6148" s="3"/>
      <c r="C6148" s="2"/>
      <c r="D6148" s="2"/>
      <c r="E6148" s="2"/>
      <c r="F6148" s="2"/>
      <c r="G6148" s="2"/>
      <c r="H6148" s="2"/>
      <c r="I6148" s="2"/>
      <c r="J6148" s="2"/>
      <c r="K6148" s="2"/>
      <c r="L6148" s="9"/>
      <c r="M6148" s="2"/>
      <c r="N6148" s="9"/>
      <c r="O6148" s="2"/>
      <c r="P6148" s="9"/>
      <c r="Q6148" s="2"/>
      <c r="R6148" s="3"/>
      <c r="S6148" s="40"/>
      <c r="T6148" s="4"/>
    </row>
    <row r="6149" spans="1:20" s="39" customFormat="1" ht="11.25" customHeight="1" x14ac:dyDescent="0.25">
      <c r="A6149" s="3"/>
      <c r="B6149" s="3"/>
      <c r="C6149" s="2"/>
      <c r="D6149" s="2"/>
      <c r="E6149" s="2"/>
      <c r="F6149" s="2"/>
      <c r="G6149" s="2"/>
      <c r="H6149" s="2"/>
      <c r="I6149" s="2"/>
      <c r="J6149" s="2"/>
      <c r="K6149" s="2"/>
      <c r="L6149" s="9"/>
      <c r="M6149" s="2"/>
      <c r="N6149" s="9"/>
      <c r="O6149" s="2"/>
      <c r="P6149" s="9"/>
      <c r="Q6149" s="2"/>
      <c r="R6149" s="3"/>
      <c r="S6149" s="40"/>
      <c r="T6149" s="4"/>
    </row>
    <row r="6150" spans="1:20" s="39" customFormat="1" ht="11.25" customHeight="1" x14ac:dyDescent="0.25">
      <c r="A6150" s="3"/>
      <c r="B6150" s="3"/>
      <c r="C6150" s="2"/>
      <c r="D6150" s="2"/>
      <c r="E6150" s="2"/>
      <c r="F6150" s="2"/>
      <c r="G6150" s="2"/>
      <c r="H6150" s="2"/>
      <c r="I6150" s="2"/>
      <c r="J6150" s="2"/>
      <c r="K6150" s="2"/>
      <c r="L6150" s="9"/>
      <c r="M6150" s="2"/>
      <c r="N6150" s="9"/>
      <c r="O6150" s="2"/>
      <c r="P6150" s="9"/>
      <c r="Q6150" s="2"/>
      <c r="R6150" s="3"/>
      <c r="S6150" s="40"/>
      <c r="T6150" s="4"/>
    </row>
    <row r="6151" spans="1:20" s="39" customFormat="1" ht="11.25" customHeight="1" x14ac:dyDescent="0.25">
      <c r="A6151" s="3"/>
      <c r="B6151" s="3"/>
      <c r="C6151" s="2"/>
      <c r="D6151" s="2"/>
      <c r="E6151" s="2"/>
      <c r="F6151" s="2"/>
      <c r="G6151" s="2"/>
      <c r="H6151" s="2"/>
      <c r="I6151" s="2"/>
      <c r="J6151" s="2"/>
      <c r="K6151" s="2"/>
      <c r="L6151" s="9"/>
      <c r="M6151" s="2"/>
      <c r="N6151" s="9"/>
      <c r="O6151" s="2"/>
      <c r="P6151" s="9"/>
      <c r="Q6151" s="2"/>
      <c r="R6151" s="3"/>
      <c r="S6151" s="40"/>
      <c r="T6151" s="4"/>
    </row>
    <row r="6152" spans="1:20" s="39" customFormat="1" ht="11.25" customHeight="1" x14ac:dyDescent="0.25">
      <c r="A6152" s="3"/>
      <c r="B6152" s="3"/>
      <c r="C6152" s="2"/>
      <c r="D6152" s="2"/>
      <c r="E6152" s="2"/>
      <c r="F6152" s="2"/>
      <c r="G6152" s="2"/>
      <c r="H6152" s="2"/>
      <c r="I6152" s="2"/>
      <c r="J6152" s="2"/>
      <c r="K6152" s="2"/>
      <c r="L6152" s="9"/>
      <c r="M6152" s="2"/>
      <c r="N6152" s="9"/>
      <c r="O6152" s="2"/>
      <c r="P6152" s="9"/>
      <c r="Q6152" s="2"/>
      <c r="R6152" s="3"/>
      <c r="S6152" s="40"/>
      <c r="T6152" s="4"/>
    </row>
    <row r="6153" spans="1:20" s="39" customFormat="1" ht="11.25" customHeight="1" x14ac:dyDescent="0.25">
      <c r="A6153" s="3"/>
      <c r="B6153" s="3"/>
      <c r="C6153" s="2"/>
      <c r="D6153" s="2"/>
      <c r="E6153" s="2"/>
      <c r="F6153" s="2"/>
      <c r="G6153" s="2"/>
      <c r="H6153" s="2"/>
      <c r="I6153" s="2"/>
      <c r="J6153" s="2"/>
      <c r="K6153" s="2"/>
      <c r="L6153" s="9"/>
      <c r="M6153" s="2"/>
      <c r="N6153" s="9"/>
      <c r="O6153" s="2"/>
      <c r="P6153" s="9"/>
      <c r="Q6153" s="2"/>
      <c r="R6153" s="3"/>
      <c r="S6153" s="40"/>
      <c r="T6153" s="4"/>
    </row>
    <row r="6154" spans="1:20" s="39" customFormat="1" ht="11.25" customHeight="1" x14ac:dyDescent="0.25">
      <c r="A6154" s="3"/>
      <c r="B6154" s="3"/>
      <c r="C6154" s="2"/>
      <c r="D6154" s="2"/>
      <c r="E6154" s="2"/>
      <c r="F6154" s="2"/>
      <c r="G6154" s="2"/>
      <c r="H6154" s="2"/>
      <c r="I6154" s="2"/>
      <c r="J6154" s="2"/>
      <c r="K6154" s="2"/>
      <c r="L6154" s="9"/>
      <c r="M6154" s="2"/>
      <c r="N6154" s="9"/>
      <c r="O6154" s="2"/>
      <c r="P6154" s="9"/>
      <c r="Q6154" s="2"/>
      <c r="R6154" s="3"/>
      <c r="S6154" s="40"/>
      <c r="T6154" s="4"/>
    </row>
    <row r="6155" spans="1:20" s="39" customFormat="1" ht="11.25" customHeight="1" x14ac:dyDescent="0.25">
      <c r="A6155" s="3"/>
      <c r="B6155" s="3"/>
      <c r="C6155" s="2"/>
      <c r="D6155" s="2"/>
      <c r="E6155" s="2"/>
      <c r="F6155" s="2"/>
      <c r="G6155" s="2"/>
      <c r="H6155" s="2"/>
      <c r="I6155" s="2"/>
      <c r="J6155" s="2"/>
      <c r="K6155" s="2"/>
      <c r="L6155" s="9"/>
      <c r="M6155" s="2"/>
      <c r="N6155" s="9"/>
      <c r="O6155" s="2"/>
      <c r="P6155" s="9"/>
      <c r="Q6155" s="2"/>
      <c r="R6155" s="3"/>
      <c r="S6155" s="40"/>
      <c r="T6155" s="4"/>
    </row>
    <row r="6156" spans="1:20" s="39" customFormat="1" ht="11.25" customHeight="1" x14ac:dyDescent="0.25">
      <c r="C6156" s="40"/>
      <c r="D6156" s="40"/>
      <c r="E6156" s="40"/>
      <c r="F6156" s="40"/>
      <c r="G6156" s="40"/>
      <c r="H6156" s="40"/>
      <c r="I6156" s="40"/>
      <c r="J6156" s="40"/>
      <c r="K6156" s="40"/>
      <c r="M6156" s="40"/>
      <c r="O6156" s="40"/>
      <c r="Q6156" s="40"/>
      <c r="S6156" s="40"/>
      <c r="T6156" s="4"/>
    </row>
    <row r="6157" spans="1:20" ht="11.25" customHeight="1" x14ac:dyDescent="0.2"/>
    <row r="6158" spans="1:20" ht="11.25" customHeight="1" x14ac:dyDescent="0.2">
      <c r="A6158" s="1"/>
      <c r="B6158" s="1"/>
      <c r="E6158" s="2" t="str">
        <f>$E$1</f>
        <v>CITY OF BRADY</v>
      </c>
    </row>
    <row r="6159" spans="1:20" ht="11.25" customHeight="1" x14ac:dyDescent="0.2">
      <c r="E6159" s="2" t="str">
        <f>$E$2</f>
        <v>BUDGET REPORT</v>
      </c>
    </row>
    <row r="6160" spans="1:20" ht="11.25" customHeight="1" x14ac:dyDescent="0.2">
      <c r="E6160" s="2" t="str">
        <f>$E$3</f>
        <v>FISCAL YEAR 2024 - 2025</v>
      </c>
    </row>
    <row r="6161" spans="1:17" ht="11.25" customHeight="1" x14ac:dyDescent="0.2">
      <c r="A6161" s="3" t="s">
        <v>2215</v>
      </c>
    </row>
    <row r="6162" spans="1:17" ht="11.25" customHeight="1" x14ac:dyDescent="0.2"/>
    <row r="6163" spans="1:17" ht="11.25" customHeight="1" x14ac:dyDescent="0.2">
      <c r="I6163" s="53" t="str">
        <f>$I$6</f>
        <v>(----- 2023-2024------)</v>
      </c>
      <c r="J6163" s="53"/>
      <c r="K6163" s="53"/>
      <c r="L6163" s="6"/>
      <c r="M6163" s="54" t="str">
        <f>$M$6</f>
        <v>2024-2025</v>
      </c>
      <c r="N6163" s="54"/>
      <c r="O6163" s="54"/>
      <c r="P6163" s="54"/>
      <c r="Q6163" s="54"/>
    </row>
    <row r="6164" spans="1:17" ht="11.25" customHeight="1" x14ac:dyDescent="0.2">
      <c r="C6164" s="5" t="str">
        <f>$C$7</f>
        <v>2020-2021</v>
      </c>
      <c r="D6164" s="5"/>
      <c r="E6164" s="5" t="str">
        <f>$E$7</f>
        <v>2021-2022</v>
      </c>
      <c r="F6164" s="5"/>
      <c r="G6164" s="5" t="str">
        <f>$G$7</f>
        <v>2022-2023</v>
      </c>
      <c r="H6164" s="5"/>
      <c r="I6164" s="5" t="s">
        <v>9</v>
      </c>
      <c r="J6164" s="5"/>
      <c r="K6164" s="5" t="str">
        <f>+$K$7</f>
        <v>PROJECTED</v>
      </c>
      <c r="L6164" s="6"/>
      <c r="M6164" s="5">
        <f>$M$7</f>
        <v>0</v>
      </c>
      <c r="N6164" s="6"/>
      <c r="O6164" s="5" t="str">
        <f>$O$7</f>
        <v>2024-2025</v>
      </c>
      <c r="P6164" s="6"/>
      <c r="Q6164" s="5" t="str">
        <f>$Q$7</f>
        <v>APPROVED</v>
      </c>
    </row>
    <row r="6165" spans="1:17" ht="11.25" customHeight="1" x14ac:dyDescent="0.2">
      <c r="A6165" s="7"/>
      <c r="C6165" s="8" t="s">
        <v>12</v>
      </c>
      <c r="D6165" s="5"/>
      <c r="E6165" s="8" t="s">
        <v>12</v>
      </c>
      <c r="F6165" s="5"/>
      <c r="G6165" s="8" t="s">
        <v>12</v>
      </c>
      <c r="H6165" s="5"/>
      <c r="I6165" s="8" t="s">
        <v>13</v>
      </c>
      <c r="J6165" s="5"/>
      <c r="K6165" s="8" t="s">
        <v>13</v>
      </c>
      <c r="L6165" s="6"/>
      <c r="M6165" s="8" t="str">
        <f>$M$8</f>
        <v>BASE</v>
      </c>
      <c r="N6165" s="6"/>
      <c r="O6165" s="8" t="str">
        <f>$O$8</f>
        <v>SUPPLEMENTAL</v>
      </c>
      <c r="P6165" s="6"/>
      <c r="Q6165" s="8" t="str">
        <f>$Q$8</f>
        <v>BUDGET</v>
      </c>
    </row>
    <row r="6166" spans="1:17" ht="11.25" customHeight="1" x14ac:dyDescent="0.2"/>
    <row r="6167" spans="1:17" ht="11.25" customHeight="1" x14ac:dyDescent="0.2">
      <c r="A6167" s="3" t="s">
        <v>16</v>
      </c>
      <c r="L6167" s="9"/>
      <c r="N6167" s="9"/>
      <c r="P6167" s="9"/>
    </row>
    <row r="6168" spans="1:17" ht="11.25" customHeight="1" x14ac:dyDescent="0.2">
      <c r="A6168" s="3" t="s">
        <v>17</v>
      </c>
      <c r="C6168" s="2">
        <v>0</v>
      </c>
      <c r="E6168" s="2">
        <f>+C6307</f>
        <v>0</v>
      </c>
      <c r="G6168" s="2">
        <f>+E6307</f>
        <v>0</v>
      </c>
      <c r="I6168" s="2">
        <f>+G6307</f>
        <v>0</v>
      </c>
      <c r="K6168" s="2">
        <f>+I6168</f>
        <v>0</v>
      </c>
      <c r="L6168" s="9"/>
      <c r="M6168" s="2">
        <f>+K6307</f>
        <v>0</v>
      </c>
      <c r="N6168" s="9"/>
      <c r="P6168" s="9"/>
      <c r="Q6168" s="2">
        <f>+M6168</f>
        <v>0</v>
      </c>
    </row>
    <row r="6169" spans="1:17" ht="11.25" customHeight="1" x14ac:dyDescent="0.2">
      <c r="L6169" s="9"/>
      <c r="N6169" s="9"/>
      <c r="P6169" s="9"/>
    </row>
    <row r="6170" spans="1:17" ht="11.25" customHeight="1" x14ac:dyDescent="0.2">
      <c r="A6170" s="10" t="s">
        <v>18</v>
      </c>
      <c r="L6170" s="9"/>
      <c r="N6170" s="9"/>
      <c r="P6170" s="9"/>
    </row>
    <row r="6171" spans="1:17" ht="11.25" customHeight="1" x14ac:dyDescent="0.2">
      <c r="L6171" s="9"/>
      <c r="N6171" s="9"/>
      <c r="P6171" s="9"/>
    </row>
    <row r="6172" spans="1:17" ht="11.25" customHeight="1" x14ac:dyDescent="0.2">
      <c r="A6172" s="10" t="s">
        <v>1912</v>
      </c>
      <c r="L6172" s="9"/>
      <c r="N6172" s="9"/>
      <c r="P6172" s="9"/>
    </row>
    <row r="6173" spans="1:17" ht="11.25" customHeight="1" x14ac:dyDescent="0.2">
      <c r="A6173" s="3" t="s">
        <v>2216</v>
      </c>
      <c r="C6173" s="2">
        <v>0</v>
      </c>
      <c r="E6173" s="2">
        <v>0</v>
      </c>
      <c r="G6173" s="2">
        <v>0</v>
      </c>
      <c r="I6173" s="2">
        <v>0</v>
      </c>
      <c r="K6173" s="2">
        <v>0</v>
      </c>
      <c r="L6173" s="9"/>
      <c r="M6173" s="2">
        <v>0</v>
      </c>
      <c r="N6173" s="9"/>
      <c r="O6173" s="2">
        <v>0</v>
      </c>
      <c r="P6173" s="9"/>
      <c r="Q6173" s="2">
        <f t="shared" ref="Q6173:Q6179" si="150">M6173+O6173</f>
        <v>0</v>
      </c>
    </row>
    <row r="6174" spans="1:17" ht="11.25" customHeight="1" x14ac:dyDescent="0.2">
      <c r="A6174" s="3" t="s">
        <v>2217</v>
      </c>
      <c r="C6174" s="2">
        <v>0</v>
      </c>
      <c r="E6174" s="2">
        <v>0</v>
      </c>
      <c r="G6174" s="2">
        <v>0</v>
      </c>
      <c r="I6174" s="2">
        <v>0</v>
      </c>
      <c r="K6174" s="2">
        <v>0</v>
      </c>
      <c r="L6174" s="9"/>
      <c r="M6174" s="2">
        <v>0</v>
      </c>
      <c r="N6174" s="9"/>
      <c r="O6174" s="2">
        <v>0</v>
      </c>
      <c r="P6174" s="9"/>
      <c r="Q6174" s="2">
        <f t="shared" si="150"/>
        <v>0</v>
      </c>
    </row>
    <row r="6175" spans="1:17" ht="11.25" customHeight="1" x14ac:dyDescent="0.2">
      <c r="A6175" s="3" t="s">
        <v>2218</v>
      </c>
      <c r="C6175" s="2">
        <v>0</v>
      </c>
      <c r="E6175" s="2">
        <v>0</v>
      </c>
      <c r="G6175" s="2">
        <v>0</v>
      </c>
      <c r="I6175" s="2">
        <v>0</v>
      </c>
      <c r="K6175" s="2">
        <v>0</v>
      </c>
      <c r="L6175" s="9"/>
      <c r="M6175" s="2">
        <v>0</v>
      </c>
      <c r="N6175" s="9"/>
      <c r="O6175" s="2">
        <v>0</v>
      </c>
      <c r="P6175" s="9"/>
      <c r="Q6175" s="2">
        <f t="shared" si="150"/>
        <v>0</v>
      </c>
    </row>
    <row r="6176" spans="1:17" ht="11.25" customHeight="1" x14ac:dyDescent="0.2">
      <c r="A6176" s="3" t="s">
        <v>2219</v>
      </c>
      <c r="C6176" s="2">
        <v>0</v>
      </c>
      <c r="E6176" s="2">
        <v>0</v>
      </c>
      <c r="G6176" s="2">
        <v>0</v>
      </c>
      <c r="I6176" s="2">
        <v>0</v>
      </c>
      <c r="K6176" s="2">
        <v>0</v>
      </c>
      <c r="L6176" s="9"/>
      <c r="M6176" s="2">
        <v>0</v>
      </c>
      <c r="N6176" s="9"/>
      <c r="O6176" s="2">
        <v>0</v>
      </c>
      <c r="P6176" s="9"/>
      <c r="Q6176" s="2">
        <f t="shared" si="150"/>
        <v>0</v>
      </c>
    </row>
    <row r="6177" spans="1:17" ht="11.25" customHeight="1" x14ac:dyDescent="0.2">
      <c r="A6177" s="3" t="s">
        <v>2220</v>
      </c>
      <c r="C6177" s="2">
        <v>0</v>
      </c>
      <c r="E6177" s="2">
        <v>0</v>
      </c>
      <c r="G6177" s="2">
        <v>0</v>
      </c>
      <c r="I6177" s="2">
        <v>0</v>
      </c>
      <c r="K6177" s="2">
        <v>0</v>
      </c>
      <c r="L6177" s="9"/>
      <c r="M6177" s="2">
        <v>0</v>
      </c>
      <c r="N6177" s="9"/>
      <c r="O6177" s="2">
        <v>0</v>
      </c>
      <c r="P6177" s="9"/>
      <c r="Q6177" s="2">
        <f t="shared" si="150"/>
        <v>0</v>
      </c>
    </row>
    <row r="6178" spans="1:17" ht="11.25" customHeight="1" x14ac:dyDescent="0.2">
      <c r="A6178" s="3" t="s">
        <v>2221</v>
      </c>
      <c r="C6178" s="2">
        <v>0</v>
      </c>
      <c r="E6178" s="2">
        <v>0</v>
      </c>
      <c r="G6178" s="2">
        <v>0</v>
      </c>
      <c r="I6178" s="2">
        <v>0</v>
      </c>
      <c r="K6178" s="2">
        <v>0</v>
      </c>
      <c r="L6178" s="9"/>
      <c r="M6178" s="2">
        <v>0</v>
      </c>
      <c r="N6178" s="9"/>
      <c r="O6178" s="2">
        <v>0</v>
      </c>
      <c r="P6178" s="9"/>
      <c r="Q6178" s="2">
        <f t="shared" si="150"/>
        <v>0</v>
      </c>
    </row>
    <row r="6179" spans="1:17" ht="11.25" customHeight="1" x14ac:dyDescent="0.2">
      <c r="A6179" s="3" t="s">
        <v>2222</v>
      </c>
      <c r="C6179" s="2">
        <v>0</v>
      </c>
      <c r="E6179" s="2">
        <v>0</v>
      </c>
      <c r="G6179" s="2">
        <v>0</v>
      </c>
      <c r="I6179" s="2">
        <v>0</v>
      </c>
      <c r="K6179" s="2">
        <v>0</v>
      </c>
      <c r="L6179" s="9"/>
      <c r="M6179" s="2">
        <v>0</v>
      </c>
      <c r="N6179" s="9"/>
      <c r="O6179" s="2">
        <v>0</v>
      </c>
      <c r="P6179" s="9"/>
      <c r="Q6179" s="2">
        <f t="shared" si="150"/>
        <v>0</v>
      </c>
    </row>
    <row r="6180" spans="1:17" ht="11.25" customHeight="1" x14ac:dyDescent="0.2">
      <c r="A6180" s="3" t="s">
        <v>2223</v>
      </c>
      <c r="C6180" s="2">
        <v>0</v>
      </c>
      <c r="E6180" s="2">
        <v>0</v>
      </c>
      <c r="G6180" s="2">
        <v>0</v>
      </c>
      <c r="I6180" s="2">
        <v>0</v>
      </c>
      <c r="K6180" s="2">
        <v>0</v>
      </c>
      <c r="L6180" s="9"/>
      <c r="M6180" s="2">
        <v>0</v>
      </c>
      <c r="N6180" s="9"/>
      <c r="O6180" s="2">
        <v>0</v>
      </c>
      <c r="P6180" s="9"/>
      <c r="Q6180" s="2">
        <f>M6180+O6180</f>
        <v>0</v>
      </c>
    </row>
    <row r="6181" spans="1:17" ht="11.25" customHeight="1" x14ac:dyDescent="0.2">
      <c r="A6181" s="3" t="s">
        <v>2224</v>
      </c>
      <c r="C6181" s="2">
        <v>0</v>
      </c>
      <c r="E6181" s="2">
        <v>0</v>
      </c>
      <c r="G6181" s="2">
        <v>0</v>
      </c>
      <c r="I6181" s="2">
        <v>0</v>
      </c>
      <c r="K6181" s="2">
        <v>0</v>
      </c>
      <c r="L6181" s="9"/>
      <c r="M6181" s="2">
        <v>0</v>
      </c>
      <c r="N6181" s="9"/>
      <c r="O6181" s="2">
        <v>0</v>
      </c>
      <c r="P6181" s="9"/>
      <c r="Q6181" s="2">
        <f>M6181+O6181</f>
        <v>0</v>
      </c>
    </row>
    <row r="6182" spans="1:17" ht="11.25" hidden="1" customHeight="1" x14ac:dyDescent="0.2">
      <c r="A6182" s="3" t="s">
        <v>2181</v>
      </c>
      <c r="C6182" s="2">
        <v>0</v>
      </c>
      <c r="E6182" s="2">
        <v>0</v>
      </c>
      <c r="G6182" s="2">
        <v>0</v>
      </c>
      <c r="I6182" s="2">
        <v>0</v>
      </c>
      <c r="K6182" s="2">
        <v>0</v>
      </c>
      <c r="L6182" s="9"/>
      <c r="M6182" s="2">
        <v>0</v>
      </c>
      <c r="N6182" s="9"/>
      <c r="O6182" s="2">
        <v>0</v>
      </c>
      <c r="P6182" s="9"/>
      <c r="Q6182" s="2">
        <v>0</v>
      </c>
    </row>
    <row r="6183" spans="1:17" ht="11.25" customHeight="1" x14ac:dyDescent="0.2">
      <c r="A6183" s="3" t="s">
        <v>2225</v>
      </c>
      <c r="C6183" s="12">
        <v>0</v>
      </c>
      <c r="E6183" s="12">
        <v>0</v>
      </c>
      <c r="G6183" s="12">
        <v>0</v>
      </c>
      <c r="I6183" s="12">
        <v>0</v>
      </c>
      <c r="K6183" s="12">
        <v>0</v>
      </c>
      <c r="L6183" s="9"/>
      <c r="M6183" s="12">
        <v>0</v>
      </c>
      <c r="N6183" s="9"/>
      <c r="O6183" s="12">
        <v>0</v>
      </c>
      <c r="P6183" s="9"/>
      <c r="Q6183" s="12">
        <v>0</v>
      </c>
    </row>
    <row r="6184" spans="1:17" ht="11.25" customHeight="1" x14ac:dyDescent="0.2">
      <c r="A6184" s="3" t="s">
        <v>1174</v>
      </c>
      <c r="C6184" s="2">
        <f>SUM(C6173:C6183)</f>
        <v>0</v>
      </c>
      <c r="E6184" s="2">
        <f>SUM(E6173:E6183)</f>
        <v>0</v>
      </c>
      <c r="G6184" s="2">
        <f>SUM(G6173:G6183)</f>
        <v>0</v>
      </c>
      <c r="I6184" s="2">
        <f>SUM(I6173:I6183)</f>
        <v>0</v>
      </c>
      <c r="K6184" s="2">
        <f>SUM(K6173:K6183)</f>
        <v>0</v>
      </c>
      <c r="L6184" s="9"/>
      <c r="M6184" s="2">
        <f>SUM(M6173:M6183)</f>
        <v>0</v>
      </c>
      <c r="N6184" s="9"/>
      <c r="O6184" s="2">
        <f>SUM(O6173:O6183)</f>
        <v>0</v>
      </c>
      <c r="P6184" s="9"/>
      <c r="Q6184" s="2">
        <f>SUM(Q6173:Q6183)</f>
        <v>0</v>
      </c>
    </row>
    <row r="6185" spans="1:17" ht="11.25" customHeight="1" x14ac:dyDescent="0.2">
      <c r="L6185" s="9"/>
      <c r="N6185" s="9"/>
      <c r="P6185" s="9"/>
    </row>
    <row r="6186" spans="1:17" ht="11.25" customHeight="1" thickBot="1" x14ac:dyDescent="0.25">
      <c r="A6186" s="3" t="s">
        <v>270</v>
      </c>
      <c r="C6186" s="25">
        <f>C6184</f>
        <v>0</v>
      </c>
      <c r="E6186" s="25">
        <f>E6184</f>
        <v>0</v>
      </c>
      <c r="G6186" s="25">
        <f>G6184</f>
        <v>0</v>
      </c>
      <c r="I6186" s="25">
        <f>I6184</f>
        <v>0</v>
      </c>
      <c r="K6186" s="25">
        <f>K6184</f>
        <v>0</v>
      </c>
      <c r="L6186" s="9"/>
      <c r="M6186" s="25">
        <f>M6184</f>
        <v>0</v>
      </c>
      <c r="N6186" s="9"/>
      <c r="O6186" s="25">
        <f>O6184</f>
        <v>0</v>
      </c>
      <c r="P6186" s="9"/>
      <c r="Q6186" s="25">
        <f>Q6184</f>
        <v>0</v>
      </c>
    </row>
    <row r="6187" spans="1:17" ht="11.25" customHeight="1" thickTop="1" x14ac:dyDescent="0.2">
      <c r="L6187" s="9"/>
      <c r="N6187" s="9"/>
      <c r="P6187" s="9"/>
    </row>
    <row r="6188" spans="1:17" ht="11.25" customHeight="1" x14ac:dyDescent="0.2">
      <c r="L6188" s="9"/>
      <c r="N6188" s="9"/>
      <c r="P6188" s="9"/>
    </row>
    <row r="6189" spans="1:17" ht="11.25" customHeight="1" x14ac:dyDescent="0.2">
      <c r="A6189" s="3" t="s">
        <v>271</v>
      </c>
      <c r="C6189" s="2">
        <f>C6168+C6186</f>
        <v>0</v>
      </c>
      <c r="E6189" s="2">
        <f>E6168+E6186</f>
        <v>0</v>
      </c>
      <c r="G6189" s="2">
        <f>G6168+G6186</f>
        <v>0</v>
      </c>
      <c r="I6189" s="2">
        <f>I6168+I6186</f>
        <v>0</v>
      </c>
      <c r="K6189" s="2">
        <f>K6168+K6186</f>
        <v>0</v>
      </c>
      <c r="L6189" s="9"/>
      <c r="M6189" s="2">
        <f>M6168+M6186</f>
        <v>0</v>
      </c>
      <c r="N6189" s="9"/>
      <c r="P6189" s="9"/>
      <c r="Q6189" s="2">
        <f>Q6168+Q6186</f>
        <v>0</v>
      </c>
    </row>
    <row r="6190" spans="1:17" ht="11.25" customHeight="1" x14ac:dyDescent="0.2"/>
    <row r="6191" spans="1:17" ht="11.25" customHeight="1" x14ac:dyDescent="0.2"/>
    <row r="6192" spans="1:17" ht="11.25" customHeight="1" x14ac:dyDescent="0.2"/>
    <row r="6193" ht="11.25" customHeight="1" x14ac:dyDescent="0.2"/>
    <row r="6194" ht="11.25" customHeight="1" x14ac:dyDescent="0.2"/>
    <row r="6195" ht="11.25" customHeight="1" x14ac:dyDescent="0.2"/>
    <row r="6196" ht="11.25" customHeight="1" x14ac:dyDescent="0.2"/>
    <row r="6197" ht="11.25" customHeight="1" x14ac:dyDescent="0.2"/>
    <row r="6198" ht="11.25" customHeight="1" x14ac:dyDescent="0.2"/>
    <row r="6199" ht="11.25" customHeight="1" x14ac:dyDescent="0.2"/>
    <row r="6200" ht="11.25" customHeight="1" x14ac:dyDescent="0.2"/>
    <row r="6201" ht="11.25" customHeight="1" x14ac:dyDescent="0.2"/>
    <row r="6202" ht="11.25" customHeight="1" x14ac:dyDescent="0.2"/>
    <row r="6203" ht="11.25" customHeight="1" x14ac:dyDescent="0.2"/>
    <row r="6204" ht="11.25" customHeight="1" x14ac:dyDescent="0.2"/>
    <row r="6205" ht="11.25" customHeight="1" x14ac:dyDescent="0.2"/>
    <row r="6206" ht="11.25" customHeight="1" x14ac:dyDescent="0.2"/>
    <row r="6207" ht="11.25" customHeight="1" x14ac:dyDescent="0.2"/>
    <row r="6208" ht="11.25" customHeight="1" x14ac:dyDescent="0.2"/>
    <row r="6209" spans="1:5" ht="11.25" customHeight="1" x14ac:dyDescent="0.2"/>
    <row r="6210" spans="1:5" ht="11.25" customHeight="1" x14ac:dyDescent="0.2"/>
    <row r="6211" spans="1:5" ht="11.25" customHeight="1" x14ac:dyDescent="0.2"/>
    <row r="6212" spans="1:5" ht="11.25" customHeight="1" x14ac:dyDescent="0.2"/>
    <row r="6213" spans="1:5" ht="11.25" customHeight="1" x14ac:dyDescent="0.2"/>
    <row r="6214" spans="1:5" ht="11.25" customHeight="1" x14ac:dyDescent="0.2"/>
    <row r="6215" spans="1:5" ht="11.25" customHeight="1" x14ac:dyDescent="0.2"/>
    <row r="6216" spans="1:5" ht="11.25" customHeight="1" x14ac:dyDescent="0.2"/>
    <row r="6217" spans="1:5" ht="11.25" customHeight="1" x14ac:dyDescent="0.2"/>
    <row r="6218" spans="1:5" ht="11.25" customHeight="1" x14ac:dyDescent="0.2"/>
    <row r="6219" spans="1:5" ht="11.25" customHeight="1" x14ac:dyDescent="0.2"/>
    <row r="6220" spans="1:5" ht="11.25" customHeight="1" x14ac:dyDescent="0.2"/>
    <row r="6221" spans="1:5" ht="11.25" customHeight="1" x14ac:dyDescent="0.2"/>
    <row r="6222" spans="1:5" ht="11.25" customHeight="1" x14ac:dyDescent="0.2"/>
    <row r="6223" spans="1:5" ht="11.25" customHeight="1" x14ac:dyDescent="0.2"/>
    <row r="6224" spans="1:5" ht="11.25" customHeight="1" x14ac:dyDescent="0.2">
      <c r="A6224" s="1"/>
      <c r="B6224" s="1"/>
      <c r="E6224" s="2" t="str">
        <f>$E$1</f>
        <v>CITY OF BRADY</v>
      </c>
    </row>
    <row r="6225" spans="1:17" ht="11.25" customHeight="1" x14ac:dyDescent="0.2">
      <c r="E6225" s="2" t="str">
        <f>$E$2</f>
        <v>BUDGET REPORT</v>
      </c>
    </row>
    <row r="6226" spans="1:17" ht="11.25" customHeight="1" x14ac:dyDescent="0.2">
      <c r="E6226" s="2" t="str">
        <f>$E$3</f>
        <v>FISCAL YEAR 2024 - 2025</v>
      </c>
    </row>
    <row r="6227" spans="1:17" ht="11.25" customHeight="1" x14ac:dyDescent="0.2">
      <c r="A6227" s="3" t="s">
        <v>2226</v>
      </c>
    </row>
    <row r="6228" spans="1:17" ht="11.25" customHeight="1" x14ac:dyDescent="0.2">
      <c r="A6228" s="3" t="s">
        <v>2227</v>
      </c>
    </row>
    <row r="6229" spans="1:17" ht="11.25" customHeight="1" x14ac:dyDescent="0.2">
      <c r="I6229" s="53" t="str">
        <f>$I$6</f>
        <v>(----- 2023-2024------)</v>
      </c>
      <c r="J6229" s="53"/>
      <c r="K6229" s="53"/>
      <c r="L6229" s="6"/>
      <c r="M6229" s="54" t="str">
        <f>$M$6</f>
        <v>2024-2025</v>
      </c>
      <c r="N6229" s="54"/>
      <c r="O6229" s="54"/>
      <c r="P6229" s="54"/>
      <c r="Q6229" s="54"/>
    </row>
    <row r="6230" spans="1:17" ht="11.25" customHeight="1" x14ac:dyDescent="0.2">
      <c r="C6230" s="5" t="str">
        <f>$C$7</f>
        <v>2020-2021</v>
      </c>
      <c r="D6230" s="5"/>
      <c r="E6230" s="5" t="str">
        <f>$E$7</f>
        <v>2021-2022</v>
      </c>
      <c r="F6230" s="5"/>
      <c r="G6230" s="5" t="str">
        <f>$G$7</f>
        <v>2022-2023</v>
      </c>
      <c r="H6230" s="5"/>
      <c r="I6230" s="5" t="s">
        <v>9</v>
      </c>
      <c r="J6230" s="5"/>
      <c r="K6230" s="5" t="str">
        <f>+$K$7</f>
        <v>PROJECTED</v>
      </c>
      <c r="L6230" s="6"/>
      <c r="M6230" s="5">
        <f>$M$7</f>
        <v>0</v>
      </c>
      <c r="N6230" s="6"/>
      <c r="O6230" s="5" t="str">
        <f>$O$7</f>
        <v>2024-2025</v>
      </c>
      <c r="P6230" s="6"/>
      <c r="Q6230" s="5" t="str">
        <f>$Q$7</f>
        <v>APPROVED</v>
      </c>
    </row>
    <row r="6231" spans="1:17" ht="11.25" customHeight="1" x14ac:dyDescent="0.2">
      <c r="A6231" s="7" t="s">
        <v>273</v>
      </c>
      <c r="C6231" s="8" t="s">
        <v>12</v>
      </c>
      <c r="D6231" s="5"/>
      <c r="E6231" s="8" t="s">
        <v>12</v>
      </c>
      <c r="F6231" s="5"/>
      <c r="G6231" s="8" t="s">
        <v>12</v>
      </c>
      <c r="H6231" s="5"/>
      <c r="I6231" s="8" t="s">
        <v>13</v>
      </c>
      <c r="J6231" s="5"/>
      <c r="K6231" s="8" t="s">
        <v>13</v>
      </c>
      <c r="L6231" s="6"/>
      <c r="M6231" s="8" t="str">
        <f>$M$8</f>
        <v>BASE</v>
      </c>
      <c r="N6231" s="6"/>
      <c r="O6231" s="8" t="str">
        <f>$O$8</f>
        <v>SUPPLEMENTAL</v>
      </c>
      <c r="P6231" s="6"/>
      <c r="Q6231" s="8" t="str">
        <f>$Q$8</f>
        <v>BUDGET</v>
      </c>
    </row>
    <row r="6232" spans="1:17" ht="11.25" customHeight="1" x14ac:dyDescent="0.2"/>
    <row r="6233" spans="1:17" ht="11.25" customHeight="1" x14ac:dyDescent="0.2">
      <c r="A6233" s="10" t="s">
        <v>286</v>
      </c>
      <c r="L6233" s="9"/>
      <c r="N6233" s="9"/>
      <c r="P6233" s="9"/>
    </row>
    <row r="6234" spans="1:17" ht="11.25" customHeight="1" x14ac:dyDescent="0.2">
      <c r="A6234" s="3" t="s">
        <v>2228</v>
      </c>
      <c r="C6234" s="2">
        <v>0</v>
      </c>
      <c r="E6234" s="2">
        <v>0</v>
      </c>
      <c r="G6234" s="2">
        <v>0</v>
      </c>
      <c r="I6234" s="2">
        <v>0</v>
      </c>
      <c r="K6234" s="2">
        <v>0</v>
      </c>
      <c r="L6234" s="9"/>
      <c r="M6234" s="2">
        <v>0</v>
      </c>
      <c r="N6234" s="9"/>
      <c r="O6234" s="2">
        <v>0</v>
      </c>
      <c r="P6234" s="9"/>
      <c r="Q6234" s="2">
        <f>M6234+O6234</f>
        <v>0</v>
      </c>
    </row>
    <row r="6235" spans="1:17" ht="11.25" customHeight="1" x14ac:dyDescent="0.2">
      <c r="A6235" s="3" t="s">
        <v>2229</v>
      </c>
      <c r="C6235" s="2">
        <v>0</v>
      </c>
      <c r="E6235" s="2">
        <v>0</v>
      </c>
      <c r="G6235" s="2">
        <v>0</v>
      </c>
      <c r="I6235" s="2">
        <v>0</v>
      </c>
      <c r="K6235" s="2">
        <v>0</v>
      </c>
      <c r="L6235" s="9"/>
      <c r="M6235" s="2">
        <v>0</v>
      </c>
      <c r="N6235" s="9"/>
      <c r="O6235" s="2">
        <v>0</v>
      </c>
      <c r="P6235" s="9"/>
      <c r="Q6235" s="2">
        <f>M6235+O6235</f>
        <v>0</v>
      </c>
    </row>
    <row r="6236" spans="1:17" ht="11.25" customHeight="1" x14ac:dyDescent="0.2">
      <c r="A6236" s="3" t="s">
        <v>2230</v>
      </c>
      <c r="C6236" s="2">
        <v>0</v>
      </c>
      <c r="E6236" s="2">
        <v>0</v>
      </c>
      <c r="G6236" s="2">
        <v>0</v>
      </c>
      <c r="I6236" s="2">
        <v>0</v>
      </c>
      <c r="K6236" s="2">
        <v>0</v>
      </c>
      <c r="L6236" s="9"/>
      <c r="M6236" s="2">
        <v>0</v>
      </c>
      <c r="N6236" s="9"/>
      <c r="O6236" s="2">
        <v>0</v>
      </c>
      <c r="P6236" s="9"/>
      <c r="Q6236" s="2">
        <f>M6236+O6236</f>
        <v>0</v>
      </c>
    </row>
    <row r="6237" spans="1:17" ht="11.25" customHeight="1" x14ac:dyDescent="0.2">
      <c r="A6237" s="3" t="s">
        <v>2231</v>
      </c>
      <c r="C6237" s="2">
        <v>0</v>
      </c>
      <c r="E6237" s="2">
        <v>0</v>
      </c>
      <c r="G6237" s="2">
        <v>0</v>
      </c>
      <c r="I6237" s="2">
        <v>0</v>
      </c>
      <c r="K6237" s="2">
        <v>0</v>
      </c>
      <c r="L6237" s="9"/>
      <c r="M6237" s="2">
        <v>0</v>
      </c>
      <c r="N6237" s="9"/>
      <c r="O6237" s="2">
        <v>0</v>
      </c>
      <c r="P6237" s="9"/>
      <c r="Q6237" s="2">
        <f>M6237+O6237</f>
        <v>0</v>
      </c>
    </row>
    <row r="6238" spans="1:17" ht="11.25" customHeight="1" x14ac:dyDescent="0.2">
      <c r="A6238" s="3" t="s">
        <v>2232</v>
      </c>
      <c r="C6238" s="2">
        <v>0</v>
      </c>
      <c r="E6238" s="2">
        <v>0</v>
      </c>
      <c r="G6238" s="2">
        <v>0</v>
      </c>
      <c r="I6238" s="2">
        <v>0</v>
      </c>
      <c r="K6238" s="2">
        <v>0</v>
      </c>
      <c r="L6238" s="9"/>
      <c r="M6238" s="2">
        <v>0</v>
      </c>
      <c r="N6238" s="9"/>
      <c r="O6238" s="2">
        <v>0</v>
      </c>
      <c r="P6238" s="9"/>
      <c r="Q6238" s="2">
        <v>0</v>
      </c>
    </row>
    <row r="6239" spans="1:17" ht="11.25" customHeight="1" x14ac:dyDescent="0.2">
      <c r="A6239" s="3" t="s">
        <v>2233</v>
      </c>
      <c r="C6239" s="12">
        <v>0</v>
      </c>
      <c r="E6239" s="12">
        <v>0</v>
      </c>
      <c r="G6239" s="12">
        <v>0</v>
      </c>
      <c r="I6239" s="12">
        <v>0</v>
      </c>
      <c r="K6239" s="12">
        <v>0</v>
      </c>
      <c r="L6239" s="9"/>
      <c r="M6239" s="12">
        <v>0</v>
      </c>
      <c r="N6239" s="9"/>
      <c r="O6239" s="12">
        <v>0</v>
      </c>
      <c r="P6239" s="9"/>
      <c r="Q6239" s="12">
        <f>M6239+O6239</f>
        <v>0</v>
      </c>
    </row>
    <row r="6240" spans="1:17" ht="11.25" hidden="1" customHeight="1" x14ac:dyDescent="0.2">
      <c r="A6240" s="3" t="s">
        <v>2197</v>
      </c>
      <c r="C6240" s="2">
        <v>0</v>
      </c>
      <c r="E6240" s="2">
        <v>0</v>
      </c>
      <c r="G6240" s="2">
        <v>0</v>
      </c>
      <c r="I6240" s="2">
        <v>0</v>
      </c>
      <c r="K6240" s="2">
        <v>0</v>
      </c>
      <c r="L6240" s="9"/>
      <c r="M6240" s="2">
        <v>0</v>
      </c>
      <c r="N6240" s="9"/>
      <c r="O6240" s="2">
        <v>0</v>
      </c>
      <c r="P6240" s="9"/>
      <c r="Q6240" s="2">
        <f>M6240+O6240</f>
        <v>0</v>
      </c>
    </row>
    <row r="6241" spans="1:17" ht="11.25" hidden="1" customHeight="1" x14ac:dyDescent="0.2">
      <c r="A6241" s="3" t="s">
        <v>2234</v>
      </c>
      <c r="C6241" s="2">
        <v>0</v>
      </c>
      <c r="E6241" s="2">
        <v>0</v>
      </c>
      <c r="G6241" s="2">
        <v>0</v>
      </c>
      <c r="I6241" s="2">
        <v>0</v>
      </c>
      <c r="K6241" s="2">
        <v>0</v>
      </c>
      <c r="L6241" s="9"/>
      <c r="M6241" s="2">
        <v>0</v>
      </c>
      <c r="N6241" s="9"/>
      <c r="O6241" s="2">
        <v>0</v>
      </c>
      <c r="P6241" s="9"/>
      <c r="Q6241" s="2">
        <f>M6241+O6241</f>
        <v>0</v>
      </c>
    </row>
    <row r="6242" spans="1:17" ht="11.25" hidden="1" customHeight="1" x14ac:dyDescent="0.2">
      <c r="A6242" s="3" t="s">
        <v>2199</v>
      </c>
      <c r="C6242" s="12">
        <v>0</v>
      </c>
      <c r="E6242" s="12">
        <v>0</v>
      </c>
      <c r="G6242" s="12">
        <v>0</v>
      </c>
      <c r="I6242" s="12">
        <v>0</v>
      </c>
      <c r="K6242" s="12">
        <v>0</v>
      </c>
      <c r="L6242" s="9"/>
      <c r="M6242" s="12">
        <v>0</v>
      </c>
      <c r="N6242" s="9"/>
      <c r="O6242" s="12">
        <v>0</v>
      </c>
      <c r="P6242" s="9"/>
      <c r="Q6242" s="12">
        <f>M6242+O6242</f>
        <v>0</v>
      </c>
    </row>
    <row r="6243" spans="1:17" ht="11.25" customHeight="1" x14ac:dyDescent="0.2">
      <c r="A6243" s="3" t="s">
        <v>304</v>
      </c>
      <c r="C6243" s="2">
        <f>SUM(C6234:C6242)</f>
        <v>0</v>
      </c>
      <c r="E6243" s="2">
        <f>SUM(E6234:E6242)</f>
        <v>0</v>
      </c>
      <c r="G6243" s="2">
        <f>SUM(G6234:G6242)</f>
        <v>0</v>
      </c>
      <c r="I6243" s="2">
        <f>SUM(I6234:I6242)</f>
        <v>0</v>
      </c>
      <c r="K6243" s="2">
        <f>SUM(K6234:K6242)</f>
        <v>0</v>
      </c>
      <c r="L6243" s="9"/>
      <c r="M6243" s="2">
        <f>SUM(M6234:M6242)</f>
        <v>0</v>
      </c>
      <c r="N6243" s="9"/>
      <c r="O6243" s="2">
        <f>SUM(O6234:O6242)</f>
        <v>0</v>
      </c>
      <c r="P6243" s="9"/>
      <c r="Q6243" s="2">
        <f>M6243+O6243</f>
        <v>0</v>
      </c>
    </row>
    <row r="6244" spans="1:17" ht="11.25" customHeight="1" x14ac:dyDescent="0.2">
      <c r="L6244" s="9"/>
      <c r="N6244" s="9"/>
      <c r="P6244" s="9"/>
    </row>
    <row r="6245" spans="1:17" ht="11.25" customHeight="1" x14ac:dyDescent="0.2">
      <c r="A6245" s="10" t="s">
        <v>305</v>
      </c>
      <c r="L6245" s="9"/>
      <c r="N6245" s="9"/>
      <c r="P6245" s="9"/>
    </row>
    <row r="6246" spans="1:17" ht="11.25" customHeight="1" x14ac:dyDescent="0.2">
      <c r="A6246" s="3" t="s">
        <v>2235</v>
      </c>
      <c r="C6246" s="2">
        <v>0</v>
      </c>
      <c r="E6246" s="2">
        <v>0</v>
      </c>
      <c r="G6246" s="2">
        <v>0</v>
      </c>
      <c r="I6246" s="2">
        <v>0</v>
      </c>
      <c r="K6246" s="2">
        <v>0</v>
      </c>
      <c r="L6246" s="9"/>
      <c r="M6246" s="2">
        <v>0</v>
      </c>
      <c r="N6246" s="9"/>
      <c r="O6246" s="2">
        <v>0</v>
      </c>
      <c r="P6246" s="9"/>
      <c r="Q6246" s="2">
        <f t="shared" ref="Q6246:Q6254" si="151">M6246+O6246</f>
        <v>0</v>
      </c>
    </row>
    <row r="6247" spans="1:17" ht="11.25" customHeight="1" x14ac:dyDescent="0.2">
      <c r="A6247" s="3" t="s">
        <v>2236</v>
      </c>
      <c r="C6247" s="2">
        <v>0</v>
      </c>
      <c r="E6247" s="2">
        <v>0</v>
      </c>
      <c r="G6247" s="2">
        <v>0</v>
      </c>
      <c r="I6247" s="2">
        <v>0</v>
      </c>
      <c r="K6247" s="2">
        <v>0</v>
      </c>
      <c r="L6247" s="9"/>
      <c r="M6247" s="2">
        <v>0</v>
      </c>
      <c r="N6247" s="9"/>
      <c r="O6247" s="2">
        <v>0</v>
      </c>
      <c r="P6247" s="9"/>
      <c r="Q6247" s="2">
        <f t="shared" si="151"/>
        <v>0</v>
      </c>
    </row>
    <row r="6248" spans="1:17" ht="11.25" customHeight="1" x14ac:dyDescent="0.2">
      <c r="A6248" s="3" t="s">
        <v>2237</v>
      </c>
      <c r="C6248" s="2">
        <v>0</v>
      </c>
      <c r="E6248" s="2">
        <v>0</v>
      </c>
      <c r="G6248" s="2">
        <v>0</v>
      </c>
      <c r="I6248" s="2">
        <v>0</v>
      </c>
      <c r="K6248" s="2">
        <v>0</v>
      </c>
      <c r="L6248" s="9"/>
      <c r="M6248" s="2">
        <v>0</v>
      </c>
      <c r="N6248" s="9"/>
      <c r="O6248" s="2">
        <v>0</v>
      </c>
      <c r="P6248" s="9"/>
      <c r="Q6248" s="2">
        <f t="shared" si="151"/>
        <v>0</v>
      </c>
    </row>
    <row r="6249" spans="1:17" ht="11.25" customHeight="1" x14ac:dyDescent="0.2">
      <c r="A6249" s="3" t="s">
        <v>2238</v>
      </c>
      <c r="C6249" s="2">
        <v>0</v>
      </c>
      <c r="E6249" s="2">
        <v>0</v>
      </c>
      <c r="G6249" s="2">
        <v>0</v>
      </c>
      <c r="I6249" s="2">
        <v>0</v>
      </c>
      <c r="K6249" s="2">
        <v>0</v>
      </c>
      <c r="L6249" s="9"/>
      <c r="M6249" s="2">
        <v>0</v>
      </c>
      <c r="N6249" s="9"/>
      <c r="O6249" s="2">
        <v>0</v>
      </c>
      <c r="P6249" s="9"/>
      <c r="Q6249" s="2">
        <f t="shared" si="151"/>
        <v>0</v>
      </c>
    </row>
    <row r="6250" spans="1:17" ht="11.25" customHeight="1" x14ac:dyDescent="0.2">
      <c r="A6250" s="3" t="s">
        <v>2239</v>
      </c>
      <c r="C6250" s="2">
        <v>0</v>
      </c>
      <c r="E6250" s="2">
        <v>0</v>
      </c>
      <c r="G6250" s="2">
        <v>0</v>
      </c>
      <c r="I6250" s="2">
        <v>0</v>
      </c>
      <c r="K6250" s="2">
        <v>0</v>
      </c>
      <c r="L6250" s="9"/>
      <c r="M6250" s="2">
        <v>0</v>
      </c>
      <c r="N6250" s="9"/>
      <c r="O6250" s="2">
        <v>0</v>
      </c>
      <c r="P6250" s="9"/>
      <c r="Q6250" s="2">
        <f t="shared" si="151"/>
        <v>0</v>
      </c>
    </row>
    <row r="6251" spans="1:17" ht="11.25" customHeight="1" x14ac:dyDescent="0.2">
      <c r="A6251" s="3" t="s">
        <v>2240</v>
      </c>
      <c r="C6251" s="12">
        <v>0</v>
      </c>
      <c r="E6251" s="12">
        <v>0</v>
      </c>
      <c r="G6251" s="12">
        <v>0</v>
      </c>
      <c r="I6251" s="12">
        <v>0</v>
      </c>
      <c r="K6251" s="12">
        <v>0</v>
      </c>
      <c r="L6251" s="9"/>
      <c r="M6251" s="12">
        <v>0</v>
      </c>
      <c r="N6251" s="9"/>
      <c r="O6251" s="12">
        <v>0</v>
      </c>
      <c r="P6251" s="9"/>
      <c r="Q6251" s="12">
        <f t="shared" si="151"/>
        <v>0</v>
      </c>
    </row>
    <row r="6252" spans="1:17" ht="11.25" hidden="1" customHeight="1" x14ac:dyDescent="0.2">
      <c r="A6252" s="3" t="s">
        <v>2241</v>
      </c>
      <c r="C6252" s="2">
        <v>0</v>
      </c>
      <c r="E6252" s="2">
        <v>0</v>
      </c>
      <c r="G6252" s="2">
        <v>0</v>
      </c>
      <c r="I6252" s="2">
        <v>0</v>
      </c>
      <c r="K6252" s="2">
        <v>0</v>
      </c>
      <c r="L6252" s="9"/>
      <c r="M6252" s="2">
        <v>0</v>
      </c>
      <c r="N6252" s="9"/>
      <c r="O6252" s="2">
        <v>0</v>
      </c>
      <c r="P6252" s="9"/>
      <c r="Q6252" s="2">
        <f t="shared" si="151"/>
        <v>0</v>
      </c>
    </row>
    <row r="6253" spans="1:17" ht="11.25" hidden="1" customHeight="1" x14ac:dyDescent="0.2">
      <c r="A6253" s="3" t="s">
        <v>2242</v>
      </c>
      <c r="C6253" s="12">
        <v>0</v>
      </c>
      <c r="E6253" s="12">
        <v>0</v>
      </c>
      <c r="G6253" s="12">
        <v>0</v>
      </c>
      <c r="I6253" s="12">
        <v>0</v>
      </c>
      <c r="K6253" s="12">
        <v>0</v>
      </c>
      <c r="L6253" s="9"/>
      <c r="M6253" s="12">
        <v>0</v>
      </c>
      <c r="N6253" s="9"/>
      <c r="O6253" s="12">
        <v>0</v>
      </c>
      <c r="P6253" s="9"/>
      <c r="Q6253" s="12">
        <f t="shared" si="151"/>
        <v>0</v>
      </c>
    </row>
    <row r="6254" spans="1:17" ht="11.25" hidden="1" customHeight="1" x14ac:dyDescent="0.2">
      <c r="A6254" s="3" t="s">
        <v>2208</v>
      </c>
      <c r="C6254" s="12">
        <v>0</v>
      </c>
      <c r="E6254" s="12">
        <v>0</v>
      </c>
      <c r="G6254" s="12">
        <v>0</v>
      </c>
      <c r="I6254" s="12">
        <v>0</v>
      </c>
      <c r="K6254" s="12">
        <v>0</v>
      </c>
      <c r="L6254" s="9"/>
      <c r="M6254" s="12">
        <v>0</v>
      </c>
      <c r="N6254" s="9"/>
      <c r="O6254" s="12">
        <v>0</v>
      </c>
      <c r="P6254" s="9"/>
      <c r="Q6254" s="12">
        <f t="shared" si="151"/>
        <v>0</v>
      </c>
    </row>
    <row r="6255" spans="1:17" ht="11.25" customHeight="1" x14ac:dyDescent="0.2">
      <c r="A6255" s="3" t="s">
        <v>328</v>
      </c>
      <c r="C6255" s="2">
        <f>SUM(C6246:C6254)</f>
        <v>0</v>
      </c>
      <c r="E6255" s="2">
        <f>SUM(E6246:E6254)</f>
        <v>0</v>
      </c>
      <c r="G6255" s="2">
        <f>SUM(G6246:G6254)</f>
        <v>0</v>
      </c>
      <c r="I6255" s="2">
        <f>SUM(I6246:I6254)</f>
        <v>0</v>
      </c>
      <c r="K6255" s="2">
        <f>SUM(K6246:K6254)</f>
        <v>0</v>
      </c>
      <c r="L6255" s="9"/>
      <c r="M6255" s="2">
        <f>SUM(M6246:M6254)</f>
        <v>0</v>
      </c>
      <c r="N6255" s="9"/>
      <c r="O6255" s="2">
        <f>SUM(O6246:O6254)</f>
        <v>0</v>
      </c>
      <c r="P6255" s="9"/>
      <c r="Q6255" s="2">
        <f>SUM(Q6246:Q6254)</f>
        <v>0</v>
      </c>
    </row>
    <row r="6256" spans="1:17" ht="11.25" customHeight="1" x14ac:dyDescent="0.2">
      <c r="L6256" s="9"/>
      <c r="N6256" s="9"/>
      <c r="P6256" s="9"/>
    </row>
    <row r="6257" spans="1:17" ht="11.25" hidden="1" customHeight="1" x14ac:dyDescent="0.2">
      <c r="A6257" s="3" t="s">
        <v>2243</v>
      </c>
      <c r="C6257" s="12">
        <v>0</v>
      </c>
      <c r="E6257" s="12">
        <v>0</v>
      </c>
      <c r="G6257" s="12">
        <v>0</v>
      </c>
      <c r="I6257" s="12">
        <v>0</v>
      </c>
      <c r="K6257" s="12">
        <v>0</v>
      </c>
      <c r="L6257" s="9"/>
      <c r="M6257" s="12">
        <v>0</v>
      </c>
      <c r="N6257" s="9"/>
      <c r="O6257" s="12">
        <v>0</v>
      </c>
      <c r="P6257" s="9"/>
      <c r="Q6257" s="12">
        <f>+M6257+O6257</f>
        <v>0</v>
      </c>
    </row>
    <row r="6258" spans="1:17" ht="11.25" hidden="1" customHeight="1" x14ac:dyDescent="0.2">
      <c r="A6258" s="3" t="s">
        <v>2210</v>
      </c>
      <c r="C6258" s="2">
        <f>+C6257</f>
        <v>0</v>
      </c>
      <c r="E6258" s="2">
        <f>+E6257</f>
        <v>0</v>
      </c>
      <c r="G6258" s="2">
        <f>+G6257</f>
        <v>0</v>
      </c>
      <c r="I6258" s="2">
        <f>+I6257</f>
        <v>0</v>
      </c>
      <c r="K6258" s="2">
        <f>+K6257</f>
        <v>0</v>
      </c>
      <c r="L6258" s="9"/>
      <c r="M6258" s="2">
        <f>+M6257</f>
        <v>0</v>
      </c>
      <c r="N6258" s="9"/>
      <c r="O6258" s="2">
        <f>+O6257</f>
        <v>0</v>
      </c>
      <c r="P6258" s="9"/>
      <c r="Q6258" s="2">
        <f>+Q6257</f>
        <v>0</v>
      </c>
    </row>
    <row r="6259" spans="1:17" ht="11.25" customHeight="1" x14ac:dyDescent="0.2">
      <c r="L6259" s="9"/>
      <c r="N6259" s="9"/>
      <c r="P6259" s="9"/>
    </row>
    <row r="6260" spans="1:17" ht="11.25" customHeight="1" x14ac:dyDescent="0.2">
      <c r="A6260" s="3" t="s">
        <v>2211</v>
      </c>
      <c r="L6260" s="9"/>
      <c r="N6260" s="9"/>
      <c r="P6260" s="9"/>
    </row>
    <row r="6261" spans="1:17" ht="11.25" customHeight="1" x14ac:dyDescent="0.2">
      <c r="A6261" s="3" t="s">
        <v>2244</v>
      </c>
      <c r="C6261" s="12">
        <v>0</v>
      </c>
      <c r="E6261" s="12">
        <v>0</v>
      </c>
      <c r="G6261" s="12">
        <v>0</v>
      </c>
      <c r="I6261" s="12">
        <v>0</v>
      </c>
      <c r="K6261" s="12">
        <v>0</v>
      </c>
      <c r="L6261" s="9"/>
      <c r="M6261" s="12">
        <v>0</v>
      </c>
      <c r="N6261" s="9"/>
      <c r="O6261" s="12">
        <v>0</v>
      </c>
      <c r="P6261" s="9"/>
      <c r="Q6261" s="12">
        <f>+M6261+O6261</f>
        <v>0</v>
      </c>
    </row>
    <row r="6262" spans="1:17" ht="11.25" customHeight="1" x14ac:dyDescent="0.2">
      <c r="A6262" s="3" t="s">
        <v>2213</v>
      </c>
      <c r="C6262" s="2">
        <f>+C6261</f>
        <v>0</v>
      </c>
      <c r="E6262" s="2">
        <f>+E6261</f>
        <v>0</v>
      </c>
      <c r="G6262" s="2">
        <f>+G6261</f>
        <v>0</v>
      </c>
      <c r="I6262" s="2">
        <f>+I6261</f>
        <v>0</v>
      </c>
      <c r="K6262" s="2">
        <f>+K6261</f>
        <v>0</v>
      </c>
      <c r="L6262" s="9"/>
      <c r="M6262" s="2">
        <f>+M6261</f>
        <v>0</v>
      </c>
      <c r="N6262" s="9"/>
      <c r="O6262" s="2">
        <f>+O6261</f>
        <v>0</v>
      </c>
      <c r="P6262" s="9"/>
      <c r="Q6262" s="2">
        <f>+M6262+O6262</f>
        <v>0</v>
      </c>
    </row>
    <row r="6263" spans="1:17" ht="11.25" customHeight="1" x14ac:dyDescent="0.2">
      <c r="L6263" s="9"/>
      <c r="N6263" s="9"/>
      <c r="P6263" s="9"/>
    </row>
    <row r="6264" spans="1:17" ht="11.25" customHeight="1" x14ac:dyDescent="0.2">
      <c r="L6264" s="9"/>
      <c r="N6264" s="9"/>
      <c r="P6264" s="9"/>
    </row>
    <row r="6265" spans="1:17" ht="11.25" customHeight="1" x14ac:dyDescent="0.2">
      <c r="A6265" s="3" t="s">
        <v>2245</v>
      </c>
      <c r="C6265" s="2">
        <f>C6243+C6255+C6258+C6262</f>
        <v>0</v>
      </c>
      <c r="E6265" s="2">
        <f>E6243+E6255+E6258+E6262</f>
        <v>0</v>
      </c>
      <c r="G6265" s="2">
        <f>G6243+G6255+G6258+G6262</f>
        <v>0</v>
      </c>
      <c r="I6265" s="2">
        <f>I6243+I6255+I6258+I6262</f>
        <v>0</v>
      </c>
      <c r="K6265" s="2">
        <f>K6243+K6255+K6258+K6262</f>
        <v>0</v>
      </c>
      <c r="L6265" s="9"/>
      <c r="M6265" s="2">
        <f>M6243+M6255+M6258+M6262</f>
        <v>0</v>
      </c>
      <c r="N6265" s="2"/>
      <c r="O6265" s="2">
        <f>O6243+O6255+O6258+O6262</f>
        <v>0</v>
      </c>
      <c r="P6265" s="2"/>
      <c r="Q6265" s="2">
        <f>Q6243+Q6255+Q6258+Q6262</f>
        <v>0</v>
      </c>
    </row>
    <row r="6266" spans="1:17" ht="11.25" customHeight="1" x14ac:dyDescent="0.2"/>
    <row r="6267" spans="1:17" ht="11.25" customHeight="1" x14ac:dyDescent="0.2"/>
    <row r="6268" spans="1:17" ht="11.25" customHeight="1" x14ac:dyDescent="0.2"/>
    <row r="6269" spans="1:17" ht="11.25" customHeight="1" x14ac:dyDescent="0.2"/>
    <row r="6270" spans="1:17" ht="11.25" customHeight="1" x14ac:dyDescent="0.2"/>
    <row r="6271" spans="1:17" ht="11.25" customHeight="1" x14ac:dyDescent="0.2"/>
    <row r="6272" spans="1:17" ht="11.25" customHeight="1" x14ac:dyDescent="0.2"/>
    <row r="6273" ht="11.25" customHeight="1" x14ac:dyDescent="0.2"/>
    <row r="6274" ht="11.25" customHeight="1" x14ac:dyDescent="0.2"/>
    <row r="6275" ht="11.25" customHeight="1" x14ac:dyDescent="0.2"/>
    <row r="6276" ht="11.25" customHeight="1" x14ac:dyDescent="0.2"/>
    <row r="6277" ht="11.25" customHeight="1" x14ac:dyDescent="0.2"/>
    <row r="6278" ht="11.25" customHeight="1" x14ac:dyDescent="0.2"/>
    <row r="6279" ht="11.25" customHeight="1" x14ac:dyDescent="0.2"/>
    <row r="6280" ht="11.25" customHeight="1" x14ac:dyDescent="0.2"/>
    <row r="6281" ht="11.25" customHeight="1" x14ac:dyDescent="0.2"/>
    <row r="6282" ht="11.25" customHeight="1" x14ac:dyDescent="0.2"/>
    <row r="6283" ht="11.25" customHeight="1" x14ac:dyDescent="0.2"/>
    <row r="6284" ht="11.25" customHeight="1" x14ac:dyDescent="0.2"/>
    <row r="6285" ht="11.25" customHeight="1" x14ac:dyDescent="0.2"/>
    <row r="6286" ht="11.25" customHeight="1" x14ac:dyDescent="0.2"/>
    <row r="6287" ht="11.25" customHeight="1" x14ac:dyDescent="0.2"/>
    <row r="6288" ht="11.25" customHeight="1" x14ac:dyDescent="0.2"/>
    <row r="6289" spans="1:20" ht="11.25" customHeight="1" x14ac:dyDescent="0.2"/>
    <row r="6290" spans="1:20" ht="11.25" customHeight="1" x14ac:dyDescent="0.2"/>
    <row r="6291" spans="1:20" ht="11.25" customHeight="1" x14ac:dyDescent="0.2">
      <c r="A6291" s="1"/>
      <c r="B6291" s="1"/>
      <c r="E6291" s="2" t="str">
        <f>$E$1</f>
        <v>CITY OF BRADY</v>
      </c>
    </row>
    <row r="6292" spans="1:20" ht="11.25" customHeight="1" x14ac:dyDescent="0.2">
      <c r="E6292" s="2" t="str">
        <f>$E$2</f>
        <v>BUDGET REPORT</v>
      </c>
    </row>
    <row r="6293" spans="1:20" ht="11.25" customHeight="1" x14ac:dyDescent="0.2">
      <c r="E6293" s="2" t="str">
        <f>$E$3</f>
        <v>FISCAL YEAR 2024 - 2025</v>
      </c>
    </row>
    <row r="6294" spans="1:20" ht="11.25" customHeight="1" x14ac:dyDescent="0.2">
      <c r="A6294" s="3" t="s">
        <v>2226</v>
      </c>
    </row>
    <row r="6295" spans="1:20" ht="11.25" customHeight="1" x14ac:dyDescent="0.2"/>
    <row r="6296" spans="1:20" ht="11.25" customHeight="1" x14ac:dyDescent="0.2">
      <c r="I6296" s="53" t="str">
        <f>$I$6</f>
        <v>(----- 2023-2024------)</v>
      </c>
      <c r="J6296" s="53"/>
      <c r="K6296" s="53"/>
      <c r="L6296" s="6"/>
      <c r="M6296" s="54" t="str">
        <f>$M$6</f>
        <v>2024-2025</v>
      </c>
      <c r="N6296" s="54"/>
      <c r="O6296" s="54"/>
      <c r="P6296" s="54"/>
      <c r="Q6296" s="54"/>
    </row>
    <row r="6297" spans="1:20" ht="11.25" customHeight="1" x14ac:dyDescent="0.2">
      <c r="C6297" s="5" t="str">
        <f>$C$7</f>
        <v>2020-2021</v>
      </c>
      <c r="D6297" s="5"/>
      <c r="E6297" s="5" t="str">
        <f>$E$7</f>
        <v>2021-2022</v>
      </c>
      <c r="F6297" s="5"/>
      <c r="G6297" s="5" t="str">
        <f>$G$7</f>
        <v>2022-2023</v>
      </c>
      <c r="H6297" s="5"/>
      <c r="I6297" s="5" t="s">
        <v>9</v>
      </c>
      <c r="J6297" s="5"/>
      <c r="K6297" s="5" t="str">
        <f>+$K$7</f>
        <v>PROJECTED</v>
      </c>
      <c r="L6297" s="6"/>
      <c r="M6297" s="5">
        <f>$M$7</f>
        <v>0</v>
      </c>
      <c r="N6297" s="6"/>
      <c r="O6297" s="5" t="str">
        <f>$O$7</f>
        <v>2024-2025</v>
      </c>
      <c r="P6297" s="6"/>
      <c r="Q6297" s="5" t="str">
        <f>$Q$7</f>
        <v>APPROVED</v>
      </c>
    </row>
    <row r="6298" spans="1:20" ht="11.25" customHeight="1" x14ac:dyDescent="0.2">
      <c r="A6298" s="7" t="s">
        <v>273</v>
      </c>
      <c r="C6298" s="8" t="s">
        <v>12</v>
      </c>
      <c r="D6298" s="5"/>
      <c r="E6298" s="8" t="s">
        <v>12</v>
      </c>
      <c r="F6298" s="5"/>
      <c r="G6298" s="8" t="s">
        <v>12</v>
      </c>
      <c r="H6298" s="5"/>
      <c r="I6298" s="8" t="s">
        <v>13</v>
      </c>
      <c r="J6298" s="5"/>
      <c r="K6298" s="8" t="s">
        <v>13</v>
      </c>
      <c r="L6298" s="6"/>
      <c r="M6298" s="8" t="str">
        <f>$M$8</f>
        <v>BASE</v>
      </c>
      <c r="N6298" s="6"/>
      <c r="O6298" s="8" t="str">
        <f>$O$8</f>
        <v>SUPPLEMENTAL</v>
      </c>
      <c r="P6298" s="6"/>
      <c r="Q6298" s="8" t="str">
        <f>$Q$8</f>
        <v>BUDGET</v>
      </c>
    </row>
    <row r="6299" spans="1:20" s="39" customFormat="1" ht="10.15" customHeight="1" x14ac:dyDescent="0.25">
      <c r="C6299" s="40"/>
      <c r="D6299" s="40"/>
      <c r="E6299" s="40"/>
      <c r="F6299" s="40"/>
      <c r="G6299" s="40"/>
      <c r="H6299" s="40"/>
      <c r="I6299" s="40"/>
      <c r="J6299" s="40"/>
      <c r="K6299" s="40"/>
      <c r="M6299" s="40"/>
      <c r="O6299" s="40"/>
      <c r="Q6299" s="40"/>
      <c r="S6299" s="40"/>
      <c r="T6299" s="4"/>
    </row>
    <row r="6300" spans="1:20" s="39" customFormat="1" ht="11.25" customHeight="1" x14ac:dyDescent="0.25">
      <c r="C6300" s="40"/>
      <c r="D6300" s="40"/>
      <c r="E6300" s="40"/>
      <c r="F6300" s="40"/>
      <c r="G6300" s="40"/>
      <c r="H6300" s="40"/>
      <c r="I6300" s="40"/>
      <c r="J6300" s="40"/>
      <c r="K6300" s="40"/>
      <c r="L6300" s="41"/>
      <c r="M6300" s="40"/>
      <c r="N6300" s="41"/>
      <c r="O6300" s="40"/>
      <c r="P6300" s="41"/>
      <c r="Q6300" s="40"/>
      <c r="S6300" s="40"/>
      <c r="T6300" s="4"/>
    </row>
    <row r="6301" spans="1:20" s="39" customFormat="1" ht="11.25" customHeight="1" thickBot="1" x14ac:dyDescent="0.3">
      <c r="A6301" s="3" t="s">
        <v>1123</v>
      </c>
      <c r="B6301" s="3"/>
      <c r="C6301" s="25">
        <f>C6265</f>
        <v>0</v>
      </c>
      <c r="D6301" s="2"/>
      <c r="E6301" s="25">
        <f>E6265</f>
        <v>0</v>
      </c>
      <c r="F6301" s="2"/>
      <c r="G6301" s="25">
        <f>G6265</f>
        <v>0</v>
      </c>
      <c r="H6301" s="2"/>
      <c r="I6301" s="25">
        <f>I6265</f>
        <v>0</v>
      </c>
      <c r="J6301" s="2"/>
      <c r="K6301" s="25">
        <f>K6265</f>
        <v>0</v>
      </c>
      <c r="L6301" s="9"/>
      <c r="M6301" s="25">
        <f>M6265</f>
        <v>0</v>
      </c>
      <c r="N6301" s="9"/>
      <c r="O6301" s="25">
        <f>O6265</f>
        <v>0</v>
      </c>
      <c r="P6301" s="9"/>
      <c r="Q6301" s="25">
        <f>Q6265</f>
        <v>0</v>
      </c>
      <c r="R6301" s="3"/>
      <c r="S6301" s="40"/>
      <c r="T6301" s="4"/>
    </row>
    <row r="6302" spans="1:20" s="39" customFormat="1" ht="11.25" customHeight="1" thickTop="1" x14ac:dyDescent="0.25">
      <c r="A6302" s="3"/>
      <c r="B6302" s="3"/>
      <c r="C6302" s="2"/>
      <c r="D6302" s="2"/>
      <c r="E6302" s="2"/>
      <c r="F6302" s="2"/>
      <c r="G6302" s="2"/>
      <c r="H6302" s="2"/>
      <c r="I6302" s="2"/>
      <c r="J6302" s="2"/>
      <c r="K6302" s="2"/>
      <c r="L6302" s="9"/>
      <c r="M6302" s="2"/>
      <c r="N6302" s="9"/>
      <c r="O6302" s="2"/>
      <c r="P6302" s="9"/>
      <c r="Q6302" s="2"/>
      <c r="R6302" s="3"/>
      <c r="S6302" s="40"/>
      <c r="T6302" s="4"/>
    </row>
    <row r="6303" spans="1:20" s="39" customFormat="1" ht="11.25" customHeight="1" thickBot="1" x14ac:dyDescent="0.3">
      <c r="A6303" s="3" t="s">
        <v>1124</v>
      </c>
      <c r="B6303" s="3"/>
      <c r="C6303" s="25">
        <f>C6186-C6301</f>
        <v>0</v>
      </c>
      <c r="D6303" s="2"/>
      <c r="E6303" s="25">
        <f>E6186-E6301</f>
        <v>0</v>
      </c>
      <c r="F6303" s="2"/>
      <c r="G6303" s="25">
        <f>G6186-G6301</f>
        <v>0</v>
      </c>
      <c r="H6303" s="2"/>
      <c r="I6303" s="25">
        <f>I6186-I6301</f>
        <v>0</v>
      </c>
      <c r="J6303" s="2"/>
      <c r="K6303" s="25">
        <f>K6186-K6301</f>
        <v>0</v>
      </c>
      <c r="L6303" s="9"/>
      <c r="M6303" s="25">
        <f>M6186-M6301</f>
        <v>0</v>
      </c>
      <c r="N6303" s="9"/>
      <c r="O6303" s="36">
        <f>O6186-O6301</f>
        <v>0</v>
      </c>
      <c r="P6303" s="9"/>
      <c r="Q6303" s="25">
        <f>Q6186-Q6301</f>
        <v>0</v>
      </c>
      <c r="R6303" s="3"/>
      <c r="S6303" s="40"/>
      <c r="T6303" s="4"/>
    </row>
    <row r="6304" spans="1:20" s="39" customFormat="1" ht="11.25" customHeight="1" thickTop="1" x14ac:dyDescent="0.25">
      <c r="A6304" s="3"/>
      <c r="B6304" s="3"/>
      <c r="C6304" s="2"/>
      <c r="D6304" s="2"/>
      <c r="E6304" s="2"/>
      <c r="F6304" s="2"/>
      <c r="G6304" s="2"/>
      <c r="H6304" s="2"/>
      <c r="I6304" s="2"/>
      <c r="J6304" s="2"/>
      <c r="K6304" s="2"/>
      <c r="L6304" s="9"/>
      <c r="M6304" s="2"/>
      <c r="N6304" s="9"/>
      <c r="O6304" s="2"/>
      <c r="P6304" s="9"/>
      <c r="Q6304" s="2"/>
      <c r="R6304" s="3"/>
      <c r="S6304" s="40"/>
      <c r="T6304" s="4"/>
    </row>
    <row r="6305" spans="1:20" s="39" customFormat="1" ht="11.25" customHeight="1" x14ac:dyDescent="0.25">
      <c r="A6305" s="3"/>
      <c r="B6305" s="3"/>
      <c r="C6305" s="2"/>
      <c r="D6305" s="2"/>
      <c r="E6305" s="2"/>
      <c r="F6305" s="2"/>
      <c r="G6305" s="2"/>
      <c r="H6305" s="2"/>
      <c r="I6305" s="2"/>
      <c r="J6305" s="2"/>
      <c r="K6305" s="2"/>
      <c r="L6305" s="9"/>
      <c r="M6305" s="2"/>
      <c r="N6305" s="9"/>
      <c r="O6305" s="2"/>
      <c r="P6305" s="9"/>
      <c r="Q6305" s="2"/>
      <c r="R6305" s="3"/>
      <c r="S6305" s="40"/>
      <c r="T6305" s="4"/>
    </row>
    <row r="6306" spans="1:20" s="39" customFormat="1" ht="11.25" customHeight="1" x14ac:dyDescent="0.25">
      <c r="A6306" s="3" t="s">
        <v>1125</v>
      </c>
      <c r="B6306" s="3"/>
      <c r="C6306" s="2"/>
      <c r="D6306" s="2"/>
      <c r="E6306" s="2"/>
      <c r="F6306" s="2"/>
      <c r="G6306" s="2"/>
      <c r="H6306" s="2"/>
      <c r="I6306" s="2"/>
      <c r="J6306" s="2"/>
      <c r="K6306" s="2"/>
      <c r="L6306" s="9"/>
      <c r="M6306" s="2"/>
      <c r="N6306" s="9"/>
      <c r="O6306" s="2"/>
      <c r="P6306" s="9"/>
      <c r="Q6306" s="2"/>
      <c r="R6306" s="3"/>
      <c r="S6306" s="40"/>
      <c r="T6306" s="4"/>
    </row>
    <row r="6307" spans="1:20" s="39" customFormat="1" ht="11.25" customHeight="1" thickBot="1" x14ac:dyDescent="0.3">
      <c r="A6307" s="3" t="s">
        <v>17</v>
      </c>
      <c r="B6307" s="3"/>
      <c r="C6307" s="25">
        <f>C6168+C6186-C6265</f>
        <v>0</v>
      </c>
      <c r="D6307" s="2"/>
      <c r="E6307" s="25">
        <f>E6168+E6186-E6265</f>
        <v>0</v>
      </c>
      <c r="F6307" s="2"/>
      <c r="G6307" s="25">
        <f>G6168+G6186-G6265</f>
        <v>0</v>
      </c>
      <c r="H6307" s="2"/>
      <c r="I6307" s="25">
        <f>I6168+I6186-I6265</f>
        <v>0</v>
      </c>
      <c r="J6307" s="2"/>
      <c r="K6307" s="25">
        <f>K6168+K6186-K6265</f>
        <v>0</v>
      </c>
      <c r="L6307" s="9"/>
      <c r="M6307" s="25">
        <f>M6168+M6186-M6265</f>
        <v>0</v>
      </c>
      <c r="N6307" s="9"/>
      <c r="O6307" s="2"/>
      <c r="P6307" s="9"/>
      <c r="Q6307" s="25">
        <f>Q6168+Q6186-Q6265</f>
        <v>0</v>
      </c>
      <c r="R6307" s="3"/>
      <c r="S6307" s="40"/>
      <c r="T6307" s="4"/>
    </row>
    <row r="6308" spans="1:20" s="39" customFormat="1" ht="11.25" customHeight="1" thickTop="1" x14ac:dyDescent="0.25">
      <c r="A6308" s="3"/>
      <c r="B6308" s="3"/>
      <c r="C6308" s="2"/>
      <c r="D6308" s="2"/>
      <c r="E6308" s="2"/>
      <c r="F6308" s="2"/>
      <c r="G6308" s="2"/>
      <c r="H6308" s="2"/>
      <c r="I6308" s="2"/>
      <c r="J6308" s="2"/>
      <c r="K6308" s="2"/>
      <c r="L6308" s="9"/>
      <c r="M6308" s="2"/>
      <c r="N6308" s="9"/>
      <c r="O6308" s="2"/>
      <c r="P6308" s="9"/>
      <c r="Q6308" s="2"/>
      <c r="R6308" s="3"/>
      <c r="S6308" s="40"/>
      <c r="T6308" s="4"/>
    </row>
    <row r="6309" spans="1:20" s="39" customFormat="1" ht="11.25" customHeight="1" x14ac:dyDescent="0.25">
      <c r="C6309" s="40"/>
      <c r="D6309" s="40"/>
      <c r="E6309" s="40"/>
      <c r="F6309" s="40"/>
      <c r="G6309" s="40"/>
      <c r="H6309" s="40"/>
      <c r="I6309" s="40"/>
      <c r="J6309" s="40"/>
      <c r="K6309" s="40"/>
      <c r="M6309" s="40"/>
      <c r="O6309" s="40"/>
      <c r="Q6309" s="40"/>
      <c r="S6309" s="40"/>
      <c r="T6309" s="4"/>
    </row>
    <row r="6310" spans="1:20" ht="11.25" customHeight="1" x14ac:dyDescent="0.2"/>
  </sheetData>
  <mergeCells count="214">
    <mergeCell ref="I218:K218"/>
    <mergeCell ref="M218:Q218"/>
    <mergeCell ref="I292:K292"/>
    <mergeCell ref="M292:Q292"/>
    <mergeCell ref="I378:K378"/>
    <mergeCell ref="M378:Q378"/>
    <mergeCell ref="I6:K6"/>
    <mergeCell ref="M6:Q6"/>
    <mergeCell ref="I80:K80"/>
    <mergeCell ref="M80:Q80"/>
    <mergeCell ref="I151:K151"/>
    <mergeCell ref="M151:Q151"/>
    <mergeCell ref="I634:K634"/>
    <mergeCell ref="M634:Q634"/>
    <mergeCell ref="I700:K700"/>
    <mergeCell ref="M700:Q700"/>
    <mergeCell ref="I767:K767"/>
    <mergeCell ref="M767:Q767"/>
    <mergeCell ref="I443:K443"/>
    <mergeCell ref="M443:Q443"/>
    <mergeCell ref="I508:K508"/>
    <mergeCell ref="M508:Q508"/>
    <mergeCell ref="I571:K571"/>
    <mergeCell ref="M571:Q571"/>
    <mergeCell ref="I1020:K1020"/>
    <mergeCell ref="M1020:Q1020"/>
    <mergeCell ref="I1083:K1083"/>
    <mergeCell ref="M1083:Q1083"/>
    <mergeCell ref="I1147:K1147"/>
    <mergeCell ref="M1147:Q1147"/>
    <mergeCell ref="I830:K830"/>
    <mergeCell ref="M830:Q830"/>
    <mergeCell ref="I893:K893"/>
    <mergeCell ref="M893:Q893"/>
    <mergeCell ref="I955:K955"/>
    <mergeCell ref="M955:Q955"/>
    <mergeCell ref="I1404:K1404"/>
    <mergeCell ref="M1404:Q1404"/>
    <mergeCell ref="I1471:K1471"/>
    <mergeCell ref="M1471:Q1471"/>
    <mergeCell ref="I1547:K1547"/>
    <mergeCell ref="M1547:Q1547"/>
    <mergeCell ref="I1210:K1210"/>
    <mergeCell ref="M1210:Q1210"/>
    <mergeCell ref="I1276:K1276"/>
    <mergeCell ref="M1276:Q1276"/>
    <mergeCell ref="I1341:K1341"/>
    <mergeCell ref="M1341:Q1341"/>
    <mergeCell ref="I1807:K1807"/>
    <mergeCell ref="M1807:Q1807"/>
    <mergeCell ref="I1870:K1870"/>
    <mergeCell ref="M1870:Q1870"/>
    <mergeCell ref="I1933:K1933"/>
    <mergeCell ref="M1933:Q1933"/>
    <mergeCell ref="I1612:K1612"/>
    <mergeCell ref="M1612:Q1612"/>
    <mergeCell ref="I1676:K1676"/>
    <mergeCell ref="M1676:Q1676"/>
    <mergeCell ref="I1740:K1740"/>
    <mergeCell ref="M1740:Q1740"/>
    <mergeCell ref="I2187:K2187"/>
    <mergeCell ref="M2187:Q2187"/>
    <mergeCell ref="I2253:K2253"/>
    <mergeCell ref="M2253:Q2253"/>
    <mergeCell ref="I2315:K2315"/>
    <mergeCell ref="M2315:Q2315"/>
    <mergeCell ref="I1998:K1998"/>
    <mergeCell ref="M1998:Q1998"/>
    <mergeCell ref="I2061:K2061"/>
    <mergeCell ref="M2061:Q2061"/>
    <mergeCell ref="I2124:K2124"/>
    <mergeCell ref="M2124:Q2124"/>
    <mergeCell ref="I2480:K2480"/>
    <mergeCell ref="M2480:Q2480"/>
    <mergeCell ref="I2549:K2549"/>
    <mergeCell ref="M2549:Q2549"/>
    <mergeCell ref="I2612:K2612"/>
    <mergeCell ref="M2612:Q2612"/>
    <mergeCell ref="I2343:K2343"/>
    <mergeCell ref="M2343:Q2343"/>
    <mergeCell ref="I2389:K2389"/>
    <mergeCell ref="M2389:Q2389"/>
    <mergeCell ref="I2420:K2420"/>
    <mergeCell ref="M2420:Q2420"/>
    <mergeCell ref="I2873:K2873"/>
    <mergeCell ref="M2873:Q2873"/>
    <mergeCell ref="I2936:K2936"/>
    <mergeCell ref="M2936:Q2936"/>
    <mergeCell ref="I2999:K2999"/>
    <mergeCell ref="M2999:Q2999"/>
    <mergeCell ref="I2681:K2681"/>
    <mergeCell ref="M2681:Q2681"/>
    <mergeCell ref="I2744:K2744"/>
    <mergeCell ref="M2744:Q2744"/>
    <mergeCell ref="I2808:K2808"/>
    <mergeCell ref="M2808:Q2808"/>
    <mergeCell ref="I3261:K3261"/>
    <mergeCell ref="M3261:Q3261"/>
    <mergeCell ref="I3325:K3325"/>
    <mergeCell ref="M3325:Q3325"/>
    <mergeCell ref="I3390:K3390"/>
    <mergeCell ref="M3390:Q3390"/>
    <mergeCell ref="I3064:K3064"/>
    <mergeCell ref="M3064:Q3064"/>
    <mergeCell ref="I3130:K3130"/>
    <mergeCell ref="M3130:Q3130"/>
    <mergeCell ref="I3197:K3197"/>
    <mergeCell ref="M3197:Q3197"/>
    <mergeCell ref="I3626:K3626"/>
    <mergeCell ref="M3626:Q3626"/>
    <mergeCell ref="I3712:K3712"/>
    <mergeCell ref="M3712:Q3712"/>
    <mergeCell ref="I3753:K3753"/>
    <mergeCell ref="M3753:Q3753"/>
    <mergeCell ref="I3459:K3459"/>
    <mergeCell ref="M3459:Q3459"/>
    <mergeCell ref="I3526:K3526"/>
    <mergeCell ref="M3526:Q3526"/>
    <mergeCell ref="I3560:K3560"/>
    <mergeCell ref="M3560:Q3560"/>
    <mergeCell ref="I3931:K3931"/>
    <mergeCell ref="M3931:Q3931"/>
    <mergeCell ref="I3965:K3965"/>
    <mergeCell ref="M3965:Q3965"/>
    <mergeCell ref="I4003:K4003"/>
    <mergeCell ref="M4003:Q4003"/>
    <mergeCell ref="I3805:K3805"/>
    <mergeCell ref="M3805:Q3805"/>
    <mergeCell ref="I3847:K3847"/>
    <mergeCell ref="M3847:Q3847"/>
    <mergeCell ref="I3884:K3884"/>
    <mergeCell ref="M3884:Q3884"/>
    <mergeCell ref="I4260:K4260"/>
    <mergeCell ref="M4260:Q4260"/>
    <mergeCell ref="I4327:K4327"/>
    <mergeCell ref="M4327:Q4327"/>
    <mergeCell ref="I4393:K4393"/>
    <mergeCell ref="M4393:Q4393"/>
    <mergeCell ref="I4066:K4066"/>
    <mergeCell ref="M4066:Q4066"/>
    <mergeCell ref="I4134:K4134"/>
    <mergeCell ref="M4134:Q4134"/>
    <mergeCell ref="I4197:K4197"/>
    <mergeCell ref="M4197:Q4197"/>
    <mergeCell ref="I4651:K4651"/>
    <mergeCell ref="M4651:Q4651"/>
    <mergeCell ref="I4720:K4720"/>
    <mergeCell ref="M4720:Q4720"/>
    <mergeCell ref="I4784:K4784"/>
    <mergeCell ref="M4784:Q4784"/>
    <mergeCell ref="I4457:K4457"/>
    <mergeCell ref="M4457:Q4457"/>
    <mergeCell ref="I4523:K4523"/>
    <mergeCell ref="M4523:Q4523"/>
    <mergeCell ref="I4586:K4586"/>
    <mergeCell ref="M4586:Q4586"/>
    <mergeCell ref="I4987:K4987"/>
    <mergeCell ref="M4987:Q4987"/>
    <mergeCell ref="I5015:K5015"/>
    <mergeCell ref="M5015:Q5015"/>
    <mergeCell ref="I5060:K5060"/>
    <mergeCell ref="M5060:Q5060"/>
    <mergeCell ref="I4850:K4850"/>
    <mergeCell ref="M4850:Q4850"/>
    <mergeCell ref="I4885:K4885"/>
    <mergeCell ref="M4885:Q4885"/>
    <mergeCell ref="I4933:K4933"/>
    <mergeCell ref="M4933:Q4933"/>
    <mergeCell ref="I5265:K5265"/>
    <mergeCell ref="M5265:Q5265"/>
    <mergeCell ref="I5324:K5324"/>
    <mergeCell ref="M5324:Q5324"/>
    <mergeCell ref="I5389:K5389"/>
    <mergeCell ref="M5389:Q5389"/>
    <mergeCell ref="I5092:K5092"/>
    <mergeCell ref="M5092:Q5092"/>
    <mergeCell ref="I5115:K5115"/>
    <mergeCell ref="M5115:Q5115"/>
    <mergeCell ref="I5200:K5200"/>
    <mergeCell ref="M5200:Q5200"/>
    <mergeCell ref="I5608:K5608"/>
    <mergeCell ref="M5608:Q5608"/>
    <mergeCell ref="I5653:K5653"/>
    <mergeCell ref="M5653:Q5653"/>
    <mergeCell ref="I5690:K5690"/>
    <mergeCell ref="M5690:Q5690"/>
    <mergeCell ref="I5456:K5456"/>
    <mergeCell ref="M5456:Q5456"/>
    <mergeCell ref="I5501:K5501"/>
    <mergeCell ref="M5501:Q5501"/>
    <mergeCell ref="I5558:K5558"/>
    <mergeCell ref="M5558:Q5558"/>
    <mergeCell ref="I5874:K5874"/>
    <mergeCell ref="M5874:Q5874"/>
    <mergeCell ref="I5916:K5916"/>
    <mergeCell ref="M5916:Q5916"/>
    <mergeCell ref="I5982:K5982"/>
    <mergeCell ref="M5982:Q5982"/>
    <mergeCell ref="I5733:K5733"/>
    <mergeCell ref="M5733:Q5733"/>
    <mergeCell ref="I5758:K5758"/>
    <mergeCell ref="M5758:Q5758"/>
    <mergeCell ref="I5824:K5824"/>
    <mergeCell ref="M5824:Q5824"/>
    <mergeCell ref="I6229:K6229"/>
    <mergeCell ref="M6229:Q6229"/>
    <mergeCell ref="I6296:K6296"/>
    <mergeCell ref="M6296:Q6296"/>
    <mergeCell ref="I6048:K6048"/>
    <mergeCell ref="M6048:Q6048"/>
    <mergeCell ref="I6122:K6122"/>
    <mergeCell ref="M6122:Q6122"/>
    <mergeCell ref="I6163:K6163"/>
    <mergeCell ref="M6163:Q6163"/>
  </mergeCells>
  <printOptions horizontalCentered="1"/>
  <pageMargins left="0.3" right="0.3" top="0.5" bottom="0.75" header="0.5" footer="0.15"/>
  <pageSetup scale="94" fitToHeight="0" orientation="portrait" r:id="rId1"/>
  <headerFooter alignWithMargins="0">
    <oddFooter xml:space="preserve">&amp;L
</oddFooter>
  </headerFooter>
  <rowBreaks count="103" manualBreakCount="103">
    <brk id="74" max="16" man="1"/>
    <brk id="145" max="16" man="1"/>
    <brk id="212" max="16383" man="1"/>
    <brk id="286" max="16383" man="1"/>
    <brk id="372" max="16383" man="1"/>
    <brk id="437" max="16383" man="1"/>
    <brk id="502" max="16383" man="1"/>
    <brk id="565" max="16383" man="1"/>
    <brk id="628" max="16383" man="1"/>
    <brk id="693" max="16383" man="1"/>
    <brk id="761" max="16383" man="1"/>
    <brk id="824" max="16383" man="1"/>
    <brk id="887" max="16383" man="1"/>
    <brk id="949" max="16383" man="1"/>
    <brk id="1014" max="16383" man="1"/>
    <brk id="1077" max="16383" man="1"/>
    <brk id="1141" max="16383" man="1"/>
    <brk id="1204" max="16383" man="1"/>
    <brk id="1270" max="16383" man="1"/>
    <brk id="1335" max="16383" man="1"/>
    <brk id="1398" max="16383" man="1"/>
    <brk id="1465" max="16383" man="1"/>
    <brk id="1541" max="16383" man="1"/>
    <brk id="1606" max="16383" man="1"/>
    <brk id="1670" max="16383" man="1"/>
    <brk id="1734" max="16383" man="1"/>
    <brk id="1801" max="16383" man="1"/>
    <brk id="1864" max="16383" man="1"/>
    <brk id="1927" max="16383" man="1"/>
    <brk id="1992" max="16383" man="1"/>
    <brk id="2055" max="16383" man="1"/>
    <brk id="2118" max="16383" man="1"/>
    <brk id="2181" max="16383" man="1"/>
    <brk id="2247" max="16383" man="1"/>
    <brk id="2309" max="16383" man="1"/>
    <brk id="2337" max="16383" man="1"/>
    <brk id="2383" max="16383" man="1"/>
    <brk id="2414" max="16383" man="1"/>
    <brk id="2474" max="16383" man="1"/>
    <brk id="2543" max="16383" man="1"/>
    <brk id="2606" max="16383" man="1"/>
    <brk id="2675" max="16383" man="1"/>
    <brk id="2738" max="16383" man="1"/>
    <brk id="2802" max="16383" man="1"/>
    <brk id="2867" max="16383" man="1"/>
    <brk id="2930" max="16383" man="1"/>
    <brk id="2993" max="16383" man="1"/>
    <brk id="3058" max="16383" man="1"/>
    <brk id="3124" max="16383" man="1"/>
    <brk id="3190" max="16383" man="1"/>
    <brk id="3254" max="16383" man="1"/>
    <brk id="3319" max="16383" man="1"/>
    <brk id="3384" max="16383" man="1"/>
    <brk id="3453" max="16383" man="1"/>
    <brk id="3520" max="16383" man="1"/>
    <brk id="3554" max="16383" man="1"/>
    <brk id="3620" max="16383" man="1"/>
    <brk id="3706" max="16383" man="1"/>
    <brk id="3747" max="16383" man="1"/>
    <brk id="3799" max="16383" man="1"/>
    <brk id="3841" max="16383" man="1"/>
    <brk id="3878" max="16383" man="1"/>
    <brk id="3925" max="16383" man="1"/>
    <brk id="3959" max="16383" man="1"/>
    <brk id="3997" max="16383" man="1"/>
    <brk id="4060" max="16383" man="1"/>
    <brk id="4128" max="16383" man="1"/>
    <brk id="4191" max="16383" man="1"/>
    <brk id="4254" max="16383" man="1"/>
    <brk id="4321" max="16383" man="1"/>
    <brk id="4387" max="16383" man="1"/>
    <brk id="4451" max="16383" man="1"/>
    <brk id="4517" max="16383" man="1"/>
    <brk id="4580" max="16383" man="1"/>
    <brk id="4645" max="16383" man="1"/>
    <brk id="4714" max="16383" man="1"/>
    <brk id="4778" max="16383" man="1"/>
    <brk id="4844" max="16383" man="1"/>
    <brk id="4879" max="16" man="1"/>
    <brk id="4927" max="16383" man="1"/>
    <brk id="4981" max="16383" man="1"/>
    <brk id="5009" max="16383" man="1"/>
    <brk id="5054" max="16383" man="1"/>
    <brk id="5086" max="16383" man="1"/>
    <brk id="5109" max="16383" man="1"/>
    <brk id="5194" max="16383" man="1"/>
    <brk id="5259" max="16383" man="1"/>
    <brk id="5318" max="16383" man="1"/>
    <brk id="5383" max="16383" man="1"/>
    <brk id="5450" max="16383" man="1"/>
    <brk id="5495" max="16383" man="1"/>
    <brk id="5552" max="16383" man="1"/>
    <brk id="5602" max="16383" man="1"/>
    <brk id="5647" max="16383" man="1"/>
    <brk id="5684" max="16383" man="1"/>
    <brk id="5727" max="16383" man="1"/>
    <brk id="5752" max="16383" man="1"/>
    <brk id="5818" max="16383" man="1"/>
    <brk id="5868" max="16383" man="1"/>
    <brk id="5910" max="16383" man="1"/>
    <brk id="5976" max="16383" man="1"/>
    <brk id="6042" max="16383" man="1"/>
    <brk id="611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FY24-25 Approved Budget - Raw </vt:lpstr>
      <vt:lpstr>' FY24-25 Approved Budget - Raw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2024-09-30T14:48:19Z</dcterms:created>
  <dcterms:modified xsi:type="dcterms:W3CDTF">2024-09-30T14:51:49Z</dcterms:modified>
</cp:coreProperties>
</file>